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tali\Desktop\FECHAMENTO CONTABILIDADE\"/>
    </mc:Choice>
  </mc:AlternateContent>
  <xr:revisionPtr revIDLastSave="0" documentId="13_ncr:1_{02952C69-BD92-4AC7-B77F-DBBB8A2FDC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alancete" sheetId="1" r:id="rId1"/>
    <sheet name="Provisão Piva e CPB" sheetId="5" r:id="rId2"/>
    <sheet name="Balanco" sheetId="3" r:id="rId3"/>
    <sheet name="DLP" sheetId="2" r:id="rId4"/>
    <sheet name="DRE" sheetId="6" r:id="rId5"/>
  </sheets>
  <externalReferences>
    <externalReference r:id="rId6"/>
    <externalReference r:id="rId7"/>
    <externalReference r:id="rId8"/>
    <externalReference r:id="rId9"/>
  </externalReferences>
  <definedNames>
    <definedName name="_xlnm._FilterDatabase" localSheetId="0" hidden="1">Balancete!$A$2:$O$599</definedName>
    <definedName name="_xlnm.Print_Area" localSheetId="0">Balancete!$A$1:$O$599</definedName>
    <definedName name="_xlnm.Print_Area" localSheetId="2">Balanco!$B$3:$M$36</definedName>
    <definedName name="_xlnm.Print_Area" localSheetId="3">DLP!$B$3:$J$51</definedName>
    <definedName name="_xlnm.Print_Area" localSheetId="4">DRE!$B$1:$O$77</definedName>
    <definedName name="_xlnm.Print_Area" localSheetId="1">'Provisão Piva e CPB'!$B$3:$N$70</definedName>
    <definedName name="_xlnm.Print_Titles" localSheetId="0">Balancete!$1:$2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9" i="1" l="1"/>
  <c r="M208" i="1"/>
  <c r="E5" i="5" l="1"/>
  <c r="E17" i="5"/>
  <c r="E8" i="5"/>
  <c r="M29" i="6"/>
  <c r="M52" i="6"/>
  <c r="C294" i="1"/>
  <c r="C295" i="1"/>
  <c r="C296" i="1"/>
  <c r="C298" i="1"/>
  <c r="C297" i="1"/>
  <c r="C293" i="1"/>
  <c r="F21" i="3"/>
  <c r="M549" i="1"/>
  <c r="M420" i="1"/>
  <c r="M401" i="1"/>
  <c r="M376" i="1"/>
  <c r="M368" i="1" s="1"/>
  <c r="M371" i="1"/>
  <c r="M362" i="1"/>
  <c r="M358" i="1"/>
  <c r="M356" i="1"/>
  <c r="M355" i="1"/>
  <c r="M354" i="1"/>
  <c r="M353" i="1"/>
  <c r="M336" i="1"/>
  <c r="M335" i="1"/>
  <c r="M333" i="1"/>
  <c r="M30" i="3"/>
  <c r="M29" i="3"/>
  <c r="M28" i="3"/>
  <c r="M23" i="3"/>
  <c r="M22" i="3"/>
  <c r="M21" i="3"/>
  <c r="M20" i="3"/>
  <c r="M19" i="3"/>
  <c r="M18" i="3"/>
  <c r="M16" i="3"/>
  <c r="M15" i="3"/>
  <c r="F29" i="3"/>
  <c r="F28" i="3"/>
  <c r="F23" i="3"/>
  <c r="F22" i="3"/>
  <c r="F20" i="3"/>
  <c r="F19" i="3"/>
  <c r="F18" i="3"/>
  <c r="F17" i="3"/>
  <c r="F16" i="3"/>
  <c r="L137" i="5"/>
  <c r="H137" i="5"/>
  <c r="D137" i="5"/>
  <c r="M596" i="1"/>
  <c r="M590" i="1"/>
  <c r="M584" i="1"/>
  <c r="M575" i="1"/>
  <c r="M538" i="1"/>
  <c r="M496" i="1"/>
  <c r="M482" i="1"/>
  <c r="M479" i="1"/>
  <c r="M467" i="1"/>
  <c r="M463" i="1"/>
  <c r="M449" i="1"/>
  <c r="M446" i="1"/>
  <c r="M443" i="1"/>
  <c r="M437" i="1"/>
  <c r="M432" i="1"/>
  <c r="M416" i="1"/>
  <c r="M412" i="1"/>
  <c r="M408" i="1"/>
  <c r="M403" i="1"/>
  <c r="M399" i="1"/>
  <c r="M396" i="1"/>
  <c r="M364" i="1"/>
  <c r="M315" i="1"/>
  <c r="M291" i="1"/>
  <c r="M285" i="1"/>
  <c r="M235" i="1"/>
  <c r="M200" i="1"/>
  <c r="M194" i="1"/>
  <c r="M24" i="3" s="1"/>
  <c r="M158" i="1"/>
  <c r="F30" i="3" s="1"/>
  <c r="M142" i="1"/>
  <c r="M136" i="1"/>
  <c r="N209" i="1"/>
  <c r="N208" i="1"/>
  <c r="D17" i="5"/>
  <c r="D8" i="5"/>
  <c r="L121" i="5"/>
  <c r="H121" i="5"/>
  <c r="D121" i="5"/>
  <c r="N216" i="1"/>
  <c r="N54" i="6"/>
  <c r="N52" i="6"/>
  <c r="N444" i="1"/>
  <c r="N418" i="1"/>
  <c r="N416" i="1" s="1"/>
  <c r="N401" i="1"/>
  <c r="N371" i="1"/>
  <c r="N387" i="1"/>
  <c r="N382" i="1"/>
  <c r="N381" i="1"/>
  <c r="N368" i="1" s="1"/>
  <c r="N362" i="1"/>
  <c r="N356" i="1"/>
  <c r="N355" i="1"/>
  <c r="N341" i="1"/>
  <c r="N335" i="1"/>
  <c r="N333" i="1"/>
  <c r="N330" i="1"/>
  <c r="N329" i="1"/>
  <c r="N142" i="1"/>
  <c r="N136" i="1"/>
  <c r="N596" i="1"/>
  <c r="N590" i="1"/>
  <c r="N584" i="1"/>
  <c r="N575" i="1"/>
  <c r="N538" i="1"/>
  <c r="N496" i="1"/>
  <c r="N482" i="1"/>
  <c r="N479" i="1"/>
  <c r="N467" i="1"/>
  <c r="N463" i="1"/>
  <c r="N449" i="1"/>
  <c r="N446" i="1"/>
  <c r="N443" i="1"/>
  <c r="N437" i="1"/>
  <c r="N432" i="1"/>
  <c r="N412" i="1"/>
  <c r="N408" i="1"/>
  <c r="N403" i="1"/>
  <c r="N399" i="1"/>
  <c r="N396" i="1"/>
  <c r="N364" i="1"/>
  <c r="N315" i="1"/>
  <c r="N291" i="1"/>
  <c r="N285" i="1"/>
  <c r="N200" i="1"/>
  <c r="N194" i="1"/>
  <c r="N158" i="1"/>
  <c r="O209" i="1"/>
  <c r="O208" i="1"/>
  <c r="O29" i="6"/>
  <c r="O538" i="1"/>
  <c r="L105" i="5"/>
  <c r="H105" i="5"/>
  <c r="D105" i="5"/>
  <c r="E283" i="1"/>
  <c r="F283" i="1"/>
  <c r="G283" i="1"/>
  <c r="H283" i="1"/>
  <c r="I283" i="1"/>
  <c r="J283" i="1"/>
  <c r="K283" i="1"/>
  <c r="L283" i="1"/>
  <c r="M283" i="1"/>
  <c r="N283" i="1"/>
  <c r="O283" i="1"/>
  <c r="D283" i="1"/>
  <c r="E239" i="1"/>
  <c r="F239" i="1"/>
  <c r="G239" i="1"/>
  <c r="H239" i="1"/>
  <c r="I239" i="1"/>
  <c r="J239" i="1"/>
  <c r="K239" i="1"/>
  <c r="L239" i="1"/>
  <c r="M239" i="1"/>
  <c r="N239" i="1"/>
  <c r="O239" i="1"/>
  <c r="D239" i="1"/>
  <c r="E206" i="1"/>
  <c r="F206" i="1"/>
  <c r="G206" i="1"/>
  <c r="H206" i="1"/>
  <c r="I206" i="1"/>
  <c r="J206" i="1"/>
  <c r="K206" i="1"/>
  <c r="L206" i="1"/>
  <c r="M206" i="1"/>
  <c r="N206" i="1"/>
  <c r="O206" i="1"/>
  <c r="D206" i="1"/>
  <c r="E196" i="1"/>
  <c r="F196" i="1"/>
  <c r="G196" i="1"/>
  <c r="H196" i="1"/>
  <c r="I196" i="1"/>
  <c r="J196" i="1"/>
  <c r="K196" i="1"/>
  <c r="L196" i="1"/>
  <c r="M196" i="1"/>
  <c r="N196" i="1"/>
  <c r="O196" i="1"/>
  <c r="D196" i="1"/>
  <c r="E166" i="1"/>
  <c r="F166" i="1"/>
  <c r="G166" i="1"/>
  <c r="H166" i="1"/>
  <c r="I166" i="1"/>
  <c r="J166" i="1"/>
  <c r="K166" i="1"/>
  <c r="L166" i="1"/>
  <c r="M166" i="1"/>
  <c r="N166" i="1"/>
  <c r="O166" i="1"/>
  <c r="E167" i="1"/>
  <c r="F167" i="1"/>
  <c r="G167" i="1"/>
  <c r="H167" i="1"/>
  <c r="I167" i="1"/>
  <c r="J167" i="1"/>
  <c r="K167" i="1"/>
  <c r="L167" i="1"/>
  <c r="M167" i="1"/>
  <c r="N167" i="1"/>
  <c r="O167" i="1"/>
  <c r="D167" i="1"/>
  <c r="D166" i="1"/>
  <c r="E144" i="1"/>
  <c r="F144" i="1"/>
  <c r="G144" i="1"/>
  <c r="H144" i="1"/>
  <c r="I144" i="1"/>
  <c r="J144" i="1"/>
  <c r="K144" i="1"/>
  <c r="L144" i="1"/>
  <c r="M144" i="1"/>
  <c r="N144" i="1"/>
  <c r="O144" i="1"/>
  <c r="D144" i="1"/>
  <c r="E139" i="1"/>
  <c r="F139" i="1"/>
  <c r="G139" i="1"/>
  <c r="H139" i="1"/>
  <c r="I139" i="1"/>
  <c r="J139" i="1"/>
  <c r="K139" i="1"/>
  <c r="L139" i="1"/>
  <c r="M139" i="1"/>
  <c r="N139" i="1"/>
  <c r="O139" i="1"/>
  <c r="D139" i="1"/>
  <c r="U51" i="3"/>
  <c r="U50" i="3"/>
  <c r="U49" i="3"/>
  <c r="U48" i="3"/>
  <c r="U47" i="3"/>
  <c r="U46" i="3"/>
  <c r="U45" i="3"/>
  <c r="M25" i="3" l="1"/>
  <c r="F31" i="3"/>
  <c r="M160" i="1"/>
  <c r="M162" i="1" s="1"/>
  <c r="F24" i="3"/>
  <c r="F25" i="3" s="1"/>
  <c r="M17" i="3"/>
  <c r="N235" i="1"/>
  <c r="N160" i="1"/>
  <c r="N162" i="1"/>
  <c r="M45" i="3"/>
  <c r="M51" i="3" s="1"/>
  <c r="M50" i="3"/>
  <c r="M49" i="3"/>
  <c r="M48" i="3"/>
  <c r="M47" i="3"/>
  <c r="M46" i="3"/>
  <c r="F34" i="3" l="1"/>
  <c r="F35" i="3" s="1"/>
  <c r="O64" i="6"/>
  <c r="N64" i="6"/>
  <c r="M64" i="6"/>
  <c r="L64" i="6"/>
  <c r="K64" i="6"/>
  <c r="J64" i="6"/>
  <c r="I64" i="6"/>
  <c r="H64" i="6"/>
  <c r="G64" i="6"/>
  <c r="F64" i="6"/>
  <c r="E64" i="6"/>
  <c r="D64" i="6"/>
  <c r="M43" i="6"/>
  <c r="J43" i="6"/>
  <c r="I43" i="6"/>
  <c r="E43" i="6"/>
  <c r="D43" i="6"/>
  <c r="O52" i="6"/>
  <c r="O47" i="6"/>
  <c r="N47" i="6"/>
  <c r="M47" i="6"/>
  <c r="L47" i="6"/>
  <c r="K47" i="6"/>
  <c r="J47" i="6"/>
  <c r="I47" i="6"/>
  <c r="H47" i="6"/>
  <c r="G47" i="6"/>
  <c r="F47" i="6"/>
  <c r="E47" i="6"/>
  <c r="D47" i="6"/>
  <c r="O67" i="6"/>
  <c r="N67" i="6"/>
  <c r="M67" i="6"/>
  <c r="L67" i="6"/>
  <c r="K67" i="6"/>
  <c r="J67" i="6"/>
  <c r="I67" i="6"/>
  <c r="H67" i="6"/>
  <c r="G67" i="6"/>
  <c r="F67" i="6"/>
  <c r="E67" i="6"/>
  <c r="O66" i="6"/>
  <c r="N66" i="6"/>
  <c r="M66" i="6"/>
  <c r="L66" i="6"/>
  <c r="K66" i="6"/>
  <c r="J66" i="6"/>
  <c r="I66" i="6"/>
  <c r="H66" i="6"/>
  <c r="G66" i="6"/>
  <c r="F66" i="6"/>
  <c r="E66" i="6"/>
  <c r="O65" i="6"/>
  <c r="N65" i="6"/>
  <c r="M65" i="6"/>
  <c r="L65" i="6"/>
  <c r="K65" i="6"/>
  <c r="J65" i="6"/>
  <c r="I65" i="6"/>
  <c r="H65" i="6"/>
  <c r="G65" i="6"/>
  <c r="F65" i="6"/>
  <c r="E65" i="6"/>
  <c r="O63" i="6"/>
  <c r="N63" i="6"/>
  <c r="M63" i="6"/>
  <c r="L63" i="6"/>
  <c r="K63" i="6"/>
  <c r="J63" i="6"/>
  <c r="I63" i="6"/>
  <c r="H63" i="6"/>
  <c r="G63" i="6"/>
  <c r="F63" i="6"/>
  <c r="E63" i="6"/>
  <c r="D67" i="6"/>
  <c r="D66" i="6"/>
  <c r="D65" i="6"/>
  <c r="D63" i="6"/>
  <c r="O76" i="6"/>
  <c r="N76" i="6"/>
  <c r="M76" i="6"/>
  <c r="L76" i="6"/>
  <c r="K76" i="6"/>
  <c r="J76" i="6"/>
  <c r="I76" i="6"/>
  <c r="H76" i="6"/>
  <c r="G76" i="6"/>
  <c r="F76" i="6"/>
  <c r="E76" i="6"/>
  <c r="O74" i="6"/>
  <c r="M74" i="6"/>
  <c r="L74" i="6"/>
  <c r="K74" i="6"/>
  <c r="J74" i="6"/>
  <c r="I74" i="6"/>
  <c r="H74" i="6"/>
  <c r="G74" i="6"/>
  <c r="F74" i="6"/>
  <c r="E74" i="6"/>
  <c r="D74" i="6"/>
  <c r="D76" i="6" l="1"/>
  <c r="O60" i="6"/>
  <c r="N60" i="6"/>
  <c r="M60" i="6"/>
  <c r="L60" i="6"/>
  <c r="K60" i="6"/>
  <c r="J60" i="6"/>
  <c r="I60" i="6"/>
  <c r="H60" i="6"/>
  <c r="G60" i="6"/>
  <c r="F60" i="6"/>
  <c r="E60" i="6"/>
  <c r="D60" i="6"/>
  <c r="O54" i="6"/>
  <c r="M54" i="6"/>
  <c r="L54" i="6"/>
  <c r="J54" i="6"/>
  <c r="I54" i="6"/>
  <c r="H54" i="6"/>
  <c r="F54" i="6"/>
  <c r="E54" i="6"/>
  <c r="O53" i="6"/>
  <c r="N53" i="6"/>
  <c r="M53" i="6"/>
  <c r="L53" i="6"/>
  <c r="K53" i="6"/>
  <c r="J53" i="6"/>
  <c r="I53" i="6"/>
  <c r="H53" i="6"/>
  <c r="G53" i="6"/>
  <c r="F53" i="6"/>
  <c r="E53" i="6"/>
  <c r="D53" i="6"/>
  <c r="O49" i="6"/>
  <c r="O50" i="6" s="1"/>
  <c r="N49" i="6"/>
  <c r="N50" i="6" s="1"/>
  <c r="M49" i="6"/>
  <c r="M50" i="6" s="1"/>
  <c r="J49" i="6"/>
  <c r="J50" i="6" s="1"/>
  <c r="F49" i="6"/>
  <c r="F50" i="6" s="1"/>
  <c r="C47" i="6"/>
  <c r="D49" i="6"/>
  <c r="O44" i="6"/>
  <c r="N44" i="6"/>
  <c r="M44" i="6"/>
  <c r="L44" i="6"/>
  <c r="K44" i="6"/>
  <c r="J44" i="6"/>
  <c r="I44" i="6"/>
  <c r="H44" i="6"/>
  <c r="G44" i="6"/>
  <c r="F44" i="6"/>
  <c r="E44" i="6"/>
  <c r="O42" i="6"/>
  <c r="N42" i="6"/>
  <c r="M42" i="6"/>
  <c r="L42" i="6"/>
  <c r="K42" i="6"/>
  <c r="I42" i="6"/>
  <c r="H42" i="6"/>
  <c r="G42" i="6"/>
  <c r="E42" i="6"/>
  <c r="O39" i="6"/>
  <c r="N39" i="6"/>
  <c r="M39" i="6"/>
  <c r="L39" i="6"/>
  <c r="K39" i="6"/>
  <c r="J39" i="6"/>
  <c r="I39" i="6"/>
  <c r="H39" i="6"/>
  <c r="G39" i="6"/>
  <c r="F39" i="6"/>
  <c r="E39" i="6"/>
  <c r="O30" i="6"/>
  <c r="I30" i="6"/>
  <c r="G30" i="6"/>
  <c r="N29" i="6"/>
  <c r="D42" i="6"/>
  <c r="D39" i="6"/>
  <c r="D29" i="6"/>
  <c r="C75" i="6"/>
  <c r="C73" i="6"/>
  <c r="C69" i="6"/>
  <c r="C67" i="6"/>
  <c r="C66" i="6"/>
  <c r="C65" i="6"/>
  <c r="C64" i="6"/>
  <c r="C63" i="6"/>
  <c r="D44" i="6"/>
  <c r="O24" i="6"/>
  <c r="N24" i="6"/>
  <c r="M24" i="6"/>
  <c r="L24" i="6"/>
  <c r="K24" i="6"/>
  <c r="J24" i="6"/>
  <c r="I24" i="6"/>
  <c r="H24" i="6"/>
  <c r="G24" i="6"/>
  <c r="F24" i="6"/>
  <c r="E24" i="6"/>
  <c r="O23" i="6"/>
  <c r="N23" i="6"/>
  <c r="M23" i="6"/>
  <c r="L23" i="6"/>
  <c r="K23" i="6"/>
  <c r="J23" i="6"/>
  <c r="I23" i="6"/>
  <c r="H23" i="6"/>
  <c r="G23" i="6"/>
  <c r="F23" i="6"/>
  <c r="E23" i="6"/>
  <c r="O22" i="6"/>
  <c r="N22" i="6"/>
  <c r="M22" i="6"/>
  <c r="L22" i="6"/>
  <c r="K22" i="6"/>
  <c r="J22" i="6"/>
  <c r="I22" i="6"/>
  <c r="H22" i="6"/>
  <c r="G22" i="6"/>
  <c r="F22" i="6"/>
  <c r="E22" i="6"/>
  <c r="O21" i="6"/>
  <c r="N21" i="6"/>
  <c r="M21" i="6"/>
  <c r="L21" i="6"/>
  <c r="K21" i="6"/>
  <c r="J21" i="6"/>
  <c r="I21" i="6"/>
  <c r="H21" i="6"/>
  <c r="G21" i="6"/>
  <c r="F21" i="6"/>
  <c r="E21" i="6"/>
  <c r="O20" i="6"/>
  <c r="N20" i="6"/>
  <c r="M20" i="6"/>
  <c r="L20" i="6"/>
  <c r="K20" i="6"/>
  <c r="J20" i="6"/>
  <c r="I20" i="6"/>
  <c r="H20" i="6"/>
  <c r="G20" i="6"/>
  <c r="F20" i="6"/>
  <c r="E20" i="6"/>
  <c r="M18" i="6"/>
  <c r="L18" i="6"/>
  <c r="K18" i="6"/>
  <c r="O16" i="6"/>
  <c r="N16" i="6"/>
  <c r="M16" i="6"/>
  <c r="L16" i="6"/>
  <c r="K16" i="6"/>
  <c r="J16" i="6"/>
  <c r="I16" i="6"/>
  <c r="H16" i="6"/>
  <c r="G16" i="6"/>
  <c r="F16" i="6"/>
  <c r="E16" i="6"/>
  <c r="O15" i="6"/>
  <c r="N15" i="6"/>
  <c r="M15" i="6"/>
  <c r="L15" i="6"/>
  <c r="K15" i="6"/>
  <c r="J15" i="6"/>
  <c r="H15" i="6"/>
  <c r="F15" i="6"/>
  <c r="E15" i="6"/>
  <c r="O13" i="6"/>
  <c r="N13" i="6"/>
  <c r="M13" i="6"/>
  <c r="L13" i="6"/>
  <c r="J13" i="6"/>
  <c r="I13" i="6"/>
  <c r="H13" i="6"/>
  <c r="G13" i="6"/>
  <c r="F13" i="6"/>
  <c r="E13" i="6"/>
  <c r="D20" i="6"/>
  <c r="D24" i="6"/>
  <c r="D23" i="6"/>
  <c r="D22" i="6"/>
  <c r="D21" i="6"/>
  <c r="D16" i="6"/>
  <c r="D15" i="6"/>
  <c r="D13" i="6"/>
  <c r="C48" i="6"/>
  <c r="C41" i="6"/>
  <c r="C40" i="6"/>
  <c r="C38" i="6"/>
  <c r="C37" i="6"/>
  <c r="C35" i="6"/>
  <c r="C34" i="6"/>
  <c r="C33" i="6"/>
  <c r="C32" i="6"/>
  <c r="C31" i="6"/>
  <c r="C26" i="6"/>
  <c r="C25" i="6"/>
  <c r="C19" i="6"/>
  <c r="C17" i="6"/>
  <c r="C14" i="6"/>
  <c r="C12" i="6"/>
  <c r="C11" i="6"/>
  <c r="C24" i="6" l="1"/>
  <c r="C22" i="6"/>
  <c r="C21" i="6"/>
  <c r="C23" i="6"/>
  <c r="C36" i="6"/>
  <c r="C20" i="6"/>
  <c r="C39" i="6"/>
  <c r="C44" i="6"/>
  <c r="O55" i="6"/>
  <c r="C60" i="6"/>
  <c r="C76" i="6"/>
  <c r="C53" i="6"/>
  <c r="D50" i="6"/>
  <c r="C16" i="6"/>
  <c r="D10" i="6" l="1"/>
  <c r="D18" i="6"/>
  <c r="D30" i="6"/>
  <c r="D54" i="6"/>
  <c r="V50" i="3"/>
  <c r="V47" i="3"/>
  <c r="V46" i="3"/>
  <c r="D596" i="1"/>
  <c r="D590" i="1"/>
  <c r="D584" i="1"/>
  <c r="D71" i="6" s="1"/>
  <c r="D575" i="1"/>
  <c r="D538" i="1"/>
  <c r="D496" i="1"/>
  <c r="D482" i="1"/>
  <c r="D479" i="1"/>
  <c r="D467" i="1"/>
  <c r="D463" i="1"/>
  <c r="D446" i="1"/>
  <c r="D443" i="1"/>
  <c r="D437" i="1"/>
  <c r="D432" i="1"/>
  <c r="D416" i="1"/>
  <c r="D412" i="1"/>
  <c r="D408" i="1"/>
  <c r="D399" i="1"/>
  <c r="D396" i="1"/>
  <c r="D368" i="1"/>
  <c r="D364" i="1"/>
  <c r="D291" i="1"/>
  <c r="D285" i="1"/>
  <c r="D200" i="1"/>
  <c r="D194" i="1"/>
  <c r="D158" i="1"/>
  <c r="D142" i="1"/>
  <c r="D136" i="1"/>
  <c r="E18" i="6"/>
  <c r="E10" i="6"/>
  <c r="E9" i="6"/>
  <c r="E27" i="6" l="1"/>
  <c r="D52" i="6"/>
  <c r="D235" i="1"/>
  <c r="D9" i="6"/>
  <c r="D403" i="1"/>
  <c r="D315" i="1"/>
  <c r="V51" i="3"/>
  <c r="V45" i="3"/>
  <c r="D202" i="1"/>
  <c r="D449" i="1"/>
  <c r="D160" i="1"/>
  <c r="D162" i="1" s="1"/>
  <c r="D27" i="6" l="1"/>
  <c r="D55" i="6"/>
  <c r="D203" i="1"/>
  <c r="G31" i="2"/>
  <c r="C228" i="1"/>
  <c r="E538" i="1"/>
  <c r="C572" i="1"/>
  <c r="C573" i="1"/>
  <c r="C542" i="1"/>
  <c r="E449" i="1"/>
  <c r="E446" i="1"/>
  <c r="E49" i="6"/>
  <c r="E29" i="6"/>
  <c r="E52" i="6"/>
  <c r="E55" i="6" s="1"/>
  <c r="E136" i="1"/>
  <c r="E596" i="1"/>
  <c r="E590" i="1"/>
  <c r="E584" i="1"/>
  <c r="E71" i="6" s="1"/>
  <c r="E575" i="1"/>
  <c r="E496" i="1"/>
  <c r="E482" i="1"/>
  <c r="E479" i="1"/>
  <c r="E467" i="1"/>
  <c r="E463" i="1"/>
  <c r="E443" i="1"/>
  <c r="E437" i="1"/>
  <c r="E432" i="1"/>
  <c r="E416" i="1"/>
  <c r="E412" i="1"/>
  <c r="E408" i="1"/>
  <c r="E403" i="1"/>
  <c r="E399" i="1"/>
  <c r="E396" i="1"/>
  <c r="E364" i="1"/>
  <c r="E291" i="1"/>
  <c r="E285" i="1"/>
  <c r="E235" i="1"/>
  <c r="E200" i="1"/>
  <c r="E194" i="1"/>
  <c r="E158" i="1"/>
  <c r="E142" i="1"/>
  <c r="F142" i="1"/>
  <c r="F9" i="6"/>
  <c r="F18" i="6"/>
  <c r="F10" i="6"/>
  <c r="F42" i="6"/>
  <c r="F43" i="6"/>
  <c r="C508" i="1"/>
  <c r="F30" i="6"/>
  <c r="F52" i="6"/>
  <c r="F55" i="6" s="1"/>
  <c r="F136" i="1"/>
  <c r="F596" i="1"/>
  <c r="F590" i="1"/>
  <c r="F575" i="1"/>
  <c r="F496" i="1"/>
  <c r="F482" i="1"/>
  <c r="F479" i="1"/>
  <c r="F467" i="1"/>
  <c r="F463" i="1"/>
  <c r="F446" i="1"/>
  <c r="F443" i="1"/>
  <c r="F437" i="1"/>
  <c r="F432" i="1"/>
  <c r="F416" i="1"/>
  <c r="F412" i="1"/>
  <c r="F408" i="1"/>
  <c r="F403" i="1"/>
  <c r="F396" i="1"/>
  <c r="F364" i="1"/>
  <c r="F291" i="1"/>
  <c r="F285" i="1"/>
  <c r="F200" i="1"/>
  <c r="F194" i="1"/>
  <c r="G194" i="1"/>
  <c r="F158" i="1"/>
  <c r="G158" i="1"/>
  <c r="G18" i="6"/>
  <c r="G10" i="6"/>
  <c r="G9" i="6"/>
  <c r="G15" i="6"/>
  <c r="G584" i="1"/>
  <c r="G71" i="6" s="1"/>
  <c r="C385" i="1"/>
  <c r="G54" i="6"/>
  <c r="G596" i="1"/>
  <c r="G590" i="1"/>
  <c r="G575" i="1"/>
  <c r="G496" i="1"/>
  <c r="G482" i="1"/>
  <c r="G479" i="1"/>
  <c r="G467" i="1"/>
  <c r="G463" i="1"/>
  <c r="G449" i="1"/>
  <c r="G446" i="1"/>
  <c r="G443" i="1"/>
  <c r="G437" i="1"/>
  <c r="G432" i="1"/>
  <c r="G416" i="1"/>
  <c r="G412" i="1"/>
  <c r="G408" i="1"/>
  <c r="G403" i="1"/>
  <c r="G396" i="1"/>
  <c r="G364" i="1"/>
  <c r="G291" i="1"/>
  <c r="G285" i="1"/>
  <c r="G200" i="1"/>
  <c r="G142" i="1"/>
  <c r="G136" i="1"/>
  <c r="H18" i="6"/>
  <c r="H10" i="6"/>
  <c r="H9" i="6"/>
  <c r="C570" i="1"/>
  <c r="H43" i="6"/>
  <c r="H49" i="6"/>
  <c r="H50" i="6" s="1"/>
  <c r="H29" i="6"/>
  <c r="H596" i="1"/>
  <c r="H590" i="1"/>
  <c r="H584" i="1"/>
  <c r="H71" i="6" s="1"/>
  <c r="H575" i="1"/>
  <c r="H496" i="1"/>
  <c r="H482" i="1"/>
  <c r="H479" i="1"/>
  <c r="H467" i="1"/>
  <c r="H463" i="1"/>
  <c r="H449" i="1"/>
  <c r="H446" i="1"/>
  <c r="H443" i="1"/>
  <c r="H437" i="1"/>
  <c r="H432" i="1"/>
  <c r="H416" i="1"/>
  <c r="H412" i="1"/>
  <c r="H408" i="1"/>
  <c r="H396" i="1"/>
  <c r="H364" i="1"/>
  <c r="H291" i="1"/>
  <c r="H285" i="1"/>
  <c r="H200" i="1"/>
  <c r="H194" i="1"/>
  <c r="H158" i="1"/>
  <c r="H142" i="1"/>
  <c r="H136" i="1"/>
  <c r="I9" i="6"/>
  <c r="I10" i="6"/>
  <c r="I18" i="6"/>
  <c r="I15" i="6"/>
  <c r="I27" i="6" l="1"/>
  <c r="G27" i="6"/>
  <c r="E160" i="1"/>
  <c r="I29" i="6"/>
  <c r="H27" i="6"/>
  <c r="G49" i="6"/>
  <c r="G50" i="6" s="1"/>
  <c r="F368" i="1"/>
  <c r="F29" i="6"/>
  <c r="G399" i="1"/>
  <c r="G29" i="6"/>
  <c r="F27" i="6"/>
  <c r="E315" i="1"/>
  <c r="G538" i="1"/>
  <c r="G43" i="6"/>
  <c r="E162" i="1"/>
  <c r="E50" i="6"/>
  <c r="H403" i="1"/>
  <c r="H30" i="6"/>
  <c r="G52" i="6"/>
  <c r="G55" i="6" s="1"/>
  <c r="C15" i="6"/>
  <c r="H52" i="6"/>
  <c r="H55" i="6" s="1"/>
  <c r="E202" i="1"/>
  <c r="E30" i="6"/>
  <c r="F235" i="1"/>
  <c r="F584" i="1"/>
  <c r="F71" i="6" s="1"/>
  <c r="H399" i="1"/>
  <c r="F399" i="1"/>
  <c r="H160" i="1"/>
  <c r="H162" i="1" s="1"/>
  <c r="G160" i="1"/>
  <c r="G162" i="1" s="1"/>
  <c r="F449" i="1"/>
  <c r="F160" i="1"/>
  <c r="F162" i="1" s="1"/>
  <c r="E368" i="1"/>
  <c r="G235" i="1"/>
  <c r="F315" i="1"/>
  <c r="F538" i="1"/>
  <c r="G368" i="1"/>
  <c r="H538" i="1"/>
  <c r="G315" i="1"/>
  <c r="H235" i="1"/>
  <c r="C567" i="1"/>
  <c r="C566" i="1"/>
  <c r="H368" i="1"/>
  <c r="H315" i="1"/>
  <c r="I399" i="1"/>
  <c r="I49" i="6"/>
  <c r="I50" i="6" s="1"/>
  <c r="I285" i="1"/>
  <c r="I241" i="1"/>
  <c r="I45" i="6" s="1"/>
  <c r="I596" i="1"/>
  <c r="I590" i="1"/>
  <c r="I584" i="1"/>
  <c r="I71" i="6" s="1"/>
  <c r="I575" i="1"/>
  <c r="I538" i="1"/>
  <c r="I496" i="1"/>
  <c r="I482" i="1"/>
  <c r="I479" i="1"/>
  <c r="I463" i="1"/>
  <c r="I449" i="1"/>
  <c r="I446" i="1"/>
  <c r="I443" i="1"/>
  <c r="I437" i="1"/>
  <c r="I432" i="1"/>
  <c r="I416" i="1"/>
  <c r="I412" i="1"/>
  <c r="I408" i="1"/>
  <c r="I403" i="1"/>
  <c r="I396" i="1"/>
  <c r="I364" i="1"/>
  <c r="I291" i="1"/>
  <c r="I235" i="1"/>
  <c r="I200" i="1"/>
  <c r="I194" i="1"/>
  <c r="I158" i="1"/>
  <c r="I142" i="1"/>
  <c r="I136" i="1"/>
  <c r="J18" i="6"/>
  <c r="J10" i="6"/>
  <c r="J9" i="6"/>
  <c r="Q65" i="5"/>
  <c r="Q64" i="5"/>
  <c r="Q56" i="5"/>
  <c r="I160" i="1" l="1"/>
  <c r="Q66" i="5"/>
  <c r="R66" i="5" s="1"/>
  <c r="I52" i="6"/>
  <c r="I55" i="6" s="1"/>
  <c r="J27" i="6"/>
  <c r="I46" i="6"/>
  <c r="I51" i="6" s="1"/>
  <c r="I368" i="1"/>
  <c r="I162" i="1"/>
  <c r="I315" i="1"/>
  <c r="I202" i="1"/>
  <c r="J368" i="1"/>
  <c r="J52" i="6"/>
  <c r="J55" i="6" s="1"/>
  <c r="J136" i="1"/>
  <c r="J596" i="1"/>
  <c r="J590" i="1"/>
  <c r="J584" i="1"/>
  <c r="J71" i="6" s="1"/>
  <c r="J575" i="1"/>
  <c r="J496" i="1"/>
  <c r="J482" i="1"/>
  <c r="J479" i="1"/>
  <c r="J463" i="1"/>
  <c r="J449" i="1"/>
  <c r="J446" i="1"/>
  <c r="J443" i="1"/>
  <c r="J437" i="1"/>
  <c r="J432" i="1"/>
  <c r="J416" i="1"/>
  <c r="J412" i="1"/>
  <c r="J408" i="1"/>
  <c r="J396" i="1"/>
  <c r="J364" i="1"/>
  <c r="J235" i="1"/>
  <c r="J200" i="1"/>
  <c r="J194" i="1"/>
  <c r="J158" i="1"/>
  <c r="K158" i="1"/>
  <c r="J142" i="1"/>
  <c r="K13" i="6"/>
  <c r="C13" i="6" s="1"/>
  <c r="K10" i="6"/>
  <c r="K9" i="6"/>
  <c r="C229" i="1"/>
  <c r="K449" i="1"/>
  <c r="K49" i="6"/>
  <c r="K50" i="6" s="1"/>
  <c r="K52" i="6"/>
  <c r="K54" i="6"/>
  <c r="K194" i="1"/>
  <c r="K596" i="1"/>
  <c r="K590" i="1"/>
  <c r="K584" i="1"/>
  <c r="K71" i="6" s="1"/>
  <c r="K575" i="1"/>
  <c r="K496" i="1"/>
  <c r="K482" i="1"/>
  <c r="K479" i="1"/>
  <c r="K463" i="1"/>
  <c r="K446" i="1"/>
  <c r="K443" i="1"/>
  <c r="K437" i="1"/>
  <c r="K432" i="1"/>
  <c r="K412" i="1"/>
  <c r="K408" i="1"/>
  <c r="K396" i="1"/>
  <c r="K364" i="1"/>
  <c r="K291" i="1"/>
  <c r="K245" i="1" s="1"/>
  <c r="K200" i="1"/>
  <c r="K142" i="1"/>
  <c r="K136" i="1"/>
  <c r="L10" i="6"/>
  <c r="L9" i="6"/>
  <c r="L27" i="6" s="1"/>
  <c r="L399" i="1"/>
  <c r="L29" i="6"/>
  <c r="L596" i="1"/>
  <c r="L590" i="1"/>
  <c r="L584" i="1"/>
  <c r="L71" i="6" s="1"/>
  <c r="L575" i="1"/>
  <c r="L496" i="1"/>
  <c r="L482" i="1"/>
  <c r="L479" i="1"/>
  <c r="L449" i="1"/>
  <c r="L446" i="1"/>
  <c r="L443" i="1"/>
  <c r="L437" i="1"/>
  <c r="L432" i="1"/>
  <c r="L416" i="1"/>
  <c r="L412" i="1"/>
  <c r="L408" i="1"/>
  <c r="L403" i="1"/>
  <c r="L396" i="1"/>
  <c r="L364" i="1"/>
  <c r="L291" i="1"/>
  <c r="L200" i="1"/>
  <c r="L194" i="1"/>
  <c r="L158" i="1"/>
  <c r="L142" i="1"/>
  <c r="L136" i="1"/>
  <c r="M10" i="6"/>
  <c r="M9" i="6"/>
  <c r="M71" i="6"/>
  <c r="N18" i="6"/>
  <c r="N10" i="6"/>
  <c r="N9" i="6"/>
  <c r="N71" i="6"/>
  <c r="O142" i="1"/>
  <c r="O43" i="6"/>
  <c r="O18" i="6"/>
  <c r="O10" i="6"/>
  <c r="O9" i="6"/>
  <c r="Q4" i="5"/>
  <c r="C18" i="6" l="1"/>
  <c r="O27" i="6"/>
  <c r="C54" i="6"/>
  <c r="I56" i="6"/>
  <c r="I58" i="6" s="1"/>
  <c r="C10" i="6"/>
  <c r="M27" i="6"/>
  <c r="C9" i="6"/>
  <c r="N27" i="6"/>
  <c r="L49" i="6"/>
  <c r="L50" i="6" s="1"/>
  <c r="J538" i="1"/>
  <c r="J42" i="6"/>
  <c r="C42" i="6" s="1"/>
  <c r="J29" i="6"/>
  <c r="M30" i="6"/>
  <c r="K27" i="6"/>
  <c r="K55" i="6"/>
  <c r="K368" i="1"/>
  <c r="K29" i="6"/>
  <c r="N30" i="6"/>
  <c r="N43" i="6"/>
  <c r="L52" i="6"/>
  <c r="L55" i="6" s="1"/>
  <c r="L463" i="1"/>
  <c r="L30" i="6"/>
  <c r="N74" i="6"/>
  <c r="C74" i="6" s="1"/>
  <c r="L538" i="1"/>
  <c r="L43" i="6"/>
  <c r="M55" i="6"/>
  <c r="K538" i="1"/>
  <c r="K43" i="6"/>
  <c r="N55" i="6"/>
  <c r="K403" i="1"/>
  <c r="K30" i="6"/>
  <c r="J403" i="1"/>
  <c r="J30" i="6"/>
  <c r="K160" i="1"/>
  <c r="K162" i="1" s="1"/>
  <c r="J160" i="1"/>
  <c r="J162" i="1" s="1"/>
  <c r="K399" i="1"/>
  <c r="L160" i="1"/>
  <c r="L162" i="1" s="1"/>
  <c r="K416" i="1"/>
  <c r="I203" i="1"/>
  <c r="K235" i="1"/>
  <c r="K315" i="1"/>
  <c r="J399" i="1"/>
  <c r="J315" i="1"/>
  <c r="L315" i="1"/>
  <c r="L235" i="1"/>
  <c r="L368" i="1"/>
  <c r="L202" i="1"/>
  <c r="O449" i="1"/>
  <c r="O432" i="1"/>
  <c r="O315" i="1"/>
  <c r="O291" i="1"/>
  <c r="O136" i="1"/>
  <c r="O200" i="1"/>
  <c r="F288" i="1"/>
  <c r="G288" i="1"/>
  <c r="H288" i="1"/>
  <c r="I288" i="1"/>
  <c r="J288" i="1"/>
  <c r="K288" i="1"/>
  <c r="L288" i="1"/>
  <c r="M288" i="1"/>
  <c r="N288" i="1"/>
  <c r="O288" i="1"/>
  <c r="D261" i="1"/>
  <c r="N57" i="5" s="1"/>
  <c r="D475" i="1"/>
  <c r="D472" i="1"/>
  <c r="C27" i="6" l="1"/>
  <c r="C43" i="6"/>
  <c r="C49" i="6"/>
  <c r="C50" i="6" s="1"/>
  <c r="C52" i="6"/>
  <c r="C55" i="6" s="1"/>
  <c r="C29" i="6"/>
  <c r="C30" i="6"/>
  <c r="D599" i="1"/>
  <c r="C492" i="1"/>
  <c r="C487" i="1"/>
  <c r="C485" i="1"/>
  <c r="C486" i="1"/>
  <c r="C490" i="1"/>
  <c r="C491" i="1"/>
  <c r="C493" i="1"/>
  <c r="C494" i="1"/>
  <c r="E475" i="1"/>
  <c r="E472" i="1"/>
  <c r="E241" i="1"/>
  <c r="E45" i="6" s="1"/>
  <c r="E46" i="6" l="1"/>
  <c r="E51" i="6" s="1"/>
  <c r="E56" i="6" s="1"/>
  <c r="E58" i="6" s="1"/>
  <c r="E599" i="1"/>
  <c r="F15" i="3" l="1"/>
  <c r="O482" i="1"/>
  <c r="O575" i="1"/>
  <c r="C582" i="1"/>
  <c r="C586" i="1"/>
  <c r="F475" i="1"/>
  <c r="F472" i="1"/>
  <c r="G475" i="1"/>
  <c r="G599" i="1" s="1"/>
  <c r="G472" i="1"/>
  <c r="C363" i="1"/>
  <c r="H475" i="1"/>
  <c r="H472" i="1"/>
  <c r="C489" i="1" l="1"/>
  <c r="C488" i="1"/>
  <c r="H599" i="1"/>
  <c r="C462" i="1"/>
  <c r="C461" i="1"/>
  <c r="C318" i="1"/>
  <c r="I475" i="1"/>
  <c r="I472" i="1"/>
  <c r="I467" i="1"/>
  <c r="C12" i="5"/>
  <c r="C21" i="5" s="1"/>
  <c r="C29" i="5" s="1"/>
  <c r="C37" i="5" s="1"/>
  <c r="C46" i="5" s="1"/>
  <c r="C55" i="5" s="1"/>
  <c r="C63" i="5" s="1"/>
  <c r="D12" i="5"/>
  <c r="D21" i="5" s="1"/>
  <c r="D29" i="5" s="1"/>
  <c r="D37" i="5" s="1"/>
  <c r="D46" i="5" s="1"/>
  <c r="D55" i="5" s="1"/>
  <c r="D63" i="5" s="1"/>
  <c r="E12" i="5"/>
  <c r="E21" i="5" s="1"/>
  <c r="E29" i="5" s="1"/>
  <c r="E37" i="5" s="1"/>
  <c r="E46" i="5" s="1"/>
  <c r="E55" i="5" s="1"/>
  <c r="E63" i="5" s="1"/>
  <c r="F12" i="5"/>
  <c r="F21" i="5" s="1"/>
  <c r="F29" i="5" s="1"/>
  <c r="F37" i="5" s="1"/>
  <c r="F46" i="5" s="1"/>
  <c r="F55" i="5" s="1"/>
  <c r="F63" i="5" s="1"/>
  <c r="G12" i="5"/>
  <c r="G21" i="5" s="1"/>
  <c r="G29" i="5" s="1"/>
  <c r="G37" i="5" s="1"/>
  <c r="G46" i="5" s="1"/>
  <c r="G55" i="5" s="1"/>
  <c r="G63" i="5" s="1"/>
  <c r="H12" i="5"/>
  <c r="H21" i="5" s="1"/>
  <c r="H29" i="5" s="1"/>
  <c r="H37" i="5" s="1"/>
  <c r="H46" i="5" s="1"/>
  <c r="H55" i="5" s="1"/>
  <c r="H63" i="5" s="1"/>
  <c r="I12" i="5"/>
  <c r="I21" i="5" s="1"/>
  <c r="I29" i="5" s="1"/>
  <c r="I37" i="5" s="1"/>
  <c r="I46" i="5" s="1"/>
  <c r="I55" i="5" s="1"/>
  <c r="I63" i="5" s="1"/>
  <c r="J12" i="5"/>
  <c r="J21" i="5" s="1"/>
  <c r="J29" i="5" s="1"/>
  <c r="J37" i="5" s="1"/>
  <c r="J46" i="5" s="1"/>
  <c r="J55" i="5" s="1"/>
  <c r="J63" i="5" s="1"/>
  <c r="K12" i="5"/>
  <c r="K21" i="5" s="1"/>
  <c r="K29" i="5" s="1"/>
  <c r="K37" i="5" s="1"/>
  <c r="K46" i="5" s="1"/>
  <c r="K55" i="5" s="1"/>
  <c r="K63" i="5" s="1"/>
  <c r="L12" i="5"/>
  <c r="L21" i="5" s="1"/>
  <c r="L29" i="5" s="1"/>
  <c r="L37" i="5" s="1"/>
  <c r="L46" i="5" s="1"/>
  <c r="L55" i="5" s="1"/>
  <c r="L63" i="5" s="1"/>
  <c r="M12" i="5"/>
  <c r="M21" i="5" s="1"/>
  <c r="M29" i="5" s="1"/>
  <c r="M37" i="5" s="1"/>
  <c r="M46" i="5" s="1"/>
  <c r="M55" i="5" s="1"/>
  <c r="M63" i="5" s="1"/>
  <c r="N12" i="5"/>
  <c r="N21" i="5" s="1"/>
  <c r="N29" i="5" s="1"/>
  <c r="N37" i="5" s="1"/>
  <c r="N46" i="5" s="1"/>
  <c r="N55" i="5" s="1"/>
  <c r="N63" i="5" s="1"/>
  <c r="Q13" i="5"/>
  <c r="J23" i="5"/>
  <c r="J25" i="5" s="1"/>
  <c r="K23" i="5"/>
  <c r="K25" i="5" s="1"/>
  <c r="C27" i="5"/>
  <c r="Q30" i="5"/>
  <c r="N33" i="5"/>
  <c r="Q38" i="5"/>
  <c r="Q39" i="5"/>
  <c r="C41" i="5"/>
  <c r="D41" i="5"/>
  <c r="E41" i="5"/>
  <c r="F41" i="5"/>
  <c r="G41" i="5"/>
  <c r="N41" i="5"/>
  <c r="C43" i="5"/>
  <c r="D42" i="5" s="1"/>
  <c r="C47" i="5"/>
  <c r="Q47" i="5" s="1"/>
  <c r="C48" i="5"/>
  <c r="Q48" i="5" s="1"/>
  <c r="D50" i="5"/>
  <c r="E50" i="5"/>
  <c r="F50" i="5"/>
  <c r="G50" i="5"/>
  <c r="H50" i="5"/>
  <c r="H52" i="5" s="1"/>
  <c r="C52" i="5"/>
  <c r="D51" i="5" s="1"/>
  <c r="I52" i="5"/>
  <c r="J52" i="5"/>
  <c r="K52" i="5"/>
  <c r="L52" i="5"/>
  <c r="M52" i="5"/>
  <c r="N52" i="5"/>
  <c r="C67" i="5"/>
  <c r="D67" i="5"/>
  <c r="E67" i="5"/>
  <c r="F67" i="5"/>
  <c r="G67" i="5"/>
  <c r="G69" i="5" s="1"/>
  <c r="H67" i="5"/>
  <c r="J67" i="5"/>
  <c r="K67" i="5"/>
  <c r="L67" i="5"/>
  <c r="M67" i="5"/>
  <c r="N67" i="5"/>
  <c r="C69" i="5"/>
  <c r="C552" i="1"/>
  <c r="I257" i="1" l="1"/>
  <c r="I14" i="5" s="1"/>
  <c r="I599" i="1"/>
  <c r="D52" i="5"/>
  <c r="E51" i="5" s="1"/>
  <c r="D43" i="5"/>
  <c r="E42" i="5" s="1"/>
  <c r="D69" i="5"/>
  <c r="E69" i="5" s="1"/>
  <c r="F69" i="5" s="1"/>
  <c r="H69" i="5" s="1"/>
  <c r="Q40" i="5"/>
  <c r="U39" i="5" s="1"/>
  <c r="E43" i="5"/>
  <c r="F42" i="5" s="1"/>
  <c r="F43" i="5" s="1"/>
  <c r="G42" i="5" s="1"/>
  <c r="E52" i="5"/>
  <c r="F51" i="5" s="1"/>
  <c r="F52" i="5" s="1"/>
  <c r="G51" i="5" s="1"/>
  <c r="G52" i="5" s="1"/>
  <c r="Q49" i="5"/>
  <c r="R49" i="5" s="1"/>
  <c r="C50" i="5"/>
  <c r="I69" i="5" l="1"/>
  <c r="G43" i="5"/>
  <c r="H42" i="5" s="1"/>
  <c r="H43" i="5" s="1"/>
  <c r="I42" i="5" s="1"/>
  <c r="I43" i="5" s="1"/>
  <c r="J42" i="5" s="1"/>
  <c r="J43" i="5" s="1"/>
  <c r="K42" i="5" s="1"/>
  <c r="K43" i="5" s="1"/>
  <c r="L42" i="5" s="1"/>
  <c r="L43" i="5" s="1"/>
  <c r="M42" i="5" s="1"/>
  <c r="M43" i="5" s="1"/>
  <c r="N42" i="5" s="1"/>
  <c r="N43" i="5" s="1"/>
  <c r="U38" i="5"/>
  <c r="U40" i="5" s="1"/>
  <c r="U47" i="5"/>
  <c r="U48" i="5"/>
  <c r="K475" i="1"/>
  <c r="K472" i="1"/>
  <c r="K467" i="1"/>
  <c r="K285" i="1"/>
  <c r="C592" i="1"/>
  <c r="L475" i="1"/>
  <c r="L472" i="1"/>
  <c r="L467" i="1"/>
  <c r="L285" i="1"/>
  <c r="L241" i="1" s="1"/>
  <c r="J69" i="5" l="1"/>
  <c r="K69" i="5" s="1"/>
  <c r="L69" i="5" s="1"/>
  <c r="F31" i="5"/>
  <c r="F33" i="5" s="1"/>
  <c r="L45" i="6"/>
  <c r="L46" i="6" s="1"/>
  <c r="L51" i="6" s="1"/>
  <c r="L56" i="6" s="1"/>
  <c r="L58" i="6" s="1"/>
  <c r="U49" i="5"/>
  <c r="C465" i="1"/>
  <c r="C362" i="1"/>
  <c r="M475" i="1"/>
  <c r="M472" i="1"/>
  <c r="C361" i="1"/>
  <c r="N472" i="1"/>
  <c r="O496" i="1"/>
  <c r="M69" i="5" l="1"/>
  <c r="O235" i="1"/>
  <c r="C483" i="1"/>
  <c r="N69" i="5" l="1"/>
  <c r="D263" i="1"/>
  <c r="C536" i="1"/>
  <c r="D251" i="1"/>
  <c r="D273" i="1"/>
  <c r="D271" i="1"/>
  <c r="D269" i="1"/>
  <c r="D267" i="1"/>
  <c r="D265" i="1"/>
  <c r="D253" i="1"/>
  <c r="D259" i="1"/>
  <c r="D61" i="6" s="1"/>
  <c r="E255" i="1"/>
  <c r="E273" i="1"/>
  <c r="E271" i="1"/>
  <c r="E269" i="1"/>
  <c r="E267" i="1"/>
  <c r="E265" i="1"/>
  <c r="E263" i="1"/>
  <c r="E261" i="1"/>
  <c r="M57" i="5" s="1"/>
  <c r="E253" i="1"/>
  <c r="C395" i="1"/>
  <c r="C393" i="1"/>
  <c r="C394" i="1"/>
  <c r="E251" i="1"/>
  <c r="E249" i="1"/>
  <c r="E259" i="1"/>
  <c r="E61" i="6" s="1"/>
  <c r="E62" i="6" s="1"/>
  <c r="E68" i="6" s="1"/>
  <c r="E70" i="6" s="1"/>
  <c r="E72" i="6" s="1"/>
  <c r="E77" i="6" s="1"/>
  <c r="D255" i="1" l="1"/>
  <c r="E247" i="1"/>
  <c r="D247" i="1" l="1"/>
  <c r="F273" i="1" l="1"/>
  <c r="F271" i="1"/>
  <c r="F269" i="1"/>
  <c r="F267" i="1"/>
  <c r="F265" i="1"/>
  <c r="F263" i="1"/>
  <c r="F253" i="1"/>
  <c r="F251" i="1"/>
  <c r="F249" i="1"/>
  <c r="F245" i="1"/>
  <c r="L23" i="5"/>
  <c r="L25" i="5" s="1"/>
  <c r="F599" i="1"/>
  <c r="F259" i="1"/>
  <c r="F61" i="6" s="1"/>
  <c r="G259" i="1"/>
  <c r="G61" i="6" s="1"/>
  <c r="F241" i="1" l="1"/>
  <c r="F45" i="6" s="1"/>
  <c r="F46" i="6" s="1"/>
  <c r="F51" i="6" s="1"/>
  <c r="F56" i="6" s="1"/>
  <c r="F58" i="6" s="1"/>
  <c r="F62" i="6" s="1"/>
  <c r="F68" i="6" s="1"/>
  <c r="F70" i="6" s="1"/>
  <c r="F72" i="6" s="1"/>
  <c r="F77" i="6" s="1"/>
  <c r="F247" i="1"/>
  <c r="F255" i="1"/>
  <c r="F257" i="1"/>
  <c r="I259" i="1"/>
  <c r="I61" i="6" s="1"/>
  <c r="I62" i="6" s="1"/>
  <c r="I68" i="6" s="1"/>
  <c r="I70" i="6" s="1"/>
  <c r="I72" i="6" s="1"/>
  <c r="I77" i="6" s="1"/>
  <c r="J259" i="1"/>
  <c r="J61" i="6" s="1"/>
  <c r="K259" i="1"/>
  <c r="K61" i="6" s="1"/>
  <c r="L259" i="1"/>
  <c r="L61" i="6" s="1"/>
  <c r="L62" i="6" s="1"/>
  <c r="L68" i="6" s="1"/>
  <c r="L70" i="6" s="1"/>
  <c r="L72" i="6" s="1"/>
  <c r="L77" i="6" s="1"/>
  <c r="N259" i="1"/>
  <c r="N61" i="6" s="1"/>
  <c r="O259" i="1"/>
  <c r="O61" i="6" s="1"/>
  <c r="H259" i="1"/>
  <c r="H61" i="6" s="1"/>
  <c r="O479" i="1"/>
  <c r="G271" i="1"/>
  <c r="G269" i="1"/>
  <c r="G267" i="1"/>
  <c r="G265" i="1"/>
  <c r="G263" i="1"/>
  <c r="G261" i="1"/>
  <c r="G255" i="1"/>
  <c r="G253" i="1"/>
  <c r="G249" i="1"/>
  <c r="G245" i="1"/>
  <c r="G241" i="1"/>
  <c r="G45" i="6" s="1"/>
  <c r="G46" i="6" s="1"/>
  <c r="G51" i="6" s="1"/>
  <c r="G56" i="6" s="1"/>
  <c r="G58" i="6" s="1"/>
  <c r="G62" i="6" s="1"/>
  <c r="G68" i="6" s="1"/>
  <c r="G70" i="6" s="1"/>
  <c r="G72" i="6" s="1"/>
  <c r="G77" i="6" s="1"/>
  <c r="L5" i="5" l="1"/>
  <c r="L7" i="5" s="1"/>
  <c r="L14" i="5"/>
  <c r="L16" i="5" s="1"/>
  <c r="L31" i="5"/>
  <c r="L33" i="5" s="1"/>
  <c r="K57" i="5"/>
  <c r="K59" i="5" s="1"/>
  <c r="K31" i="5"/>
  <c r="K33" i="5" s="1"/>
  <c r="G251" i="1"/>
  <c r="G202" i="1"/>
  <c r="G247" i="1" l="1"/>
  <c r="K5" i="5" s="1"/>
  <c r="K7" i="5" l="1"/>
  <c r="I261" i="1"/>
  <c r="I265" i="1"/>
  <c r="I263" i="1"/>
  <c r="I269" i="1"/>
  <c r="C421" i="1"/>
  <c r="I273" i="1"/>
  <c r="I267" i="1"/>
  <c r="I253" i="1"/>
  <c r="I249" i="1"/>
  <c r="I245" i="1"/>
  <c r="C549" i="1"/>
  <c r="I57" i="5" l="1"/>
  <c r="I59" i="5" s="1"/>
  <c r="I271" i="1"/>
  <c r="I251" i="1"/>
  <c r="I255" i="1"/>
  <c r="I247" i="1" l="1"/>
  <c r="I5" i="5" s="1"/>
  <c r="J273" i="1"/>
  <c r="J269" i="1"/>
  <c r="J267" i="1"/>
  <c r="J265" i="1"/>
  <c r="J263" i="1"/>
  <c r="J261" i="1"/>
  <c r="H57" i="5" s="1"/>
  <c r="J475" i="1"/>
  <c r="J472" i="1"/>
  <c r="J467" i="1"/>
  <c r="J255" i="1"/>
  <c r="J253" i="1"/>
  <c r="J251" i="1"/>
  <c r="J249" i="1"/>
  <c r="J247" i="1"/>
  <c r="J291" i="1"/>
  <c r="J245" i="1" s="1"/>
  <c r="H5" i="5" l="1"/>
  <c r="H7" i="5" s="1"/>
  <c r="I7" i="5"/>
  <c r="H59" i="5"/>
  <c r="H61" i="5" s="1"/>
  <c r="J271" i="1"/>
  <c r="K267" i="1"/>
  <c r="C366" i="1"/>
  <c r="K273" i="1"/>
  <c r="K269" i="1"/>
  <c r="K265" i="1"/>
  <c r="K263" i="1"/>
  <c r="K261" i="1"/>
  <c r="K599" i="1"/>
  <c r="K255" i="1"/>
  <c r="K253" i="1"/>
  <c r="K251" i="1"/>
  <c r="I60" i="5" l="1"/>
  <c r="I61" i="5" s="1"/>
  <c r="J60" i="5" s="1"/>
  <c r="G59" i="5"/>
  <c r="G61" i="5" s="1"/>
  <c r="K271" i="1"/>
  <c r="K249" i="1"/>
  <c r="K247" i="1"/>
  <c r="M31" i="3"/>
  <c r="M32" i="3" s="1"/>
  <c r="L265" i="1"/>
  <c r="L263" i="1"/>
  <c r="L255" i="1"/>
  <c r="L251" i="1"/>
  <c r="C210" i="1"/>
  <c r="G26" i="2" s="1"/>
  <c r="G5" i="5" l="1"/>
  <c r="G7" i="5" s="1"/>
  <c r="L271" i="1"/>
  <c r="L247" i="1"/>
  <c r="C571" i="1"/>
  <c r="L273" i="1"/>
  <c r="L269" i="1"/>
  <c r="L267" i="1"/>
  <c r="L261" i="1"/>
  <c r="L253" i="1"/>
  <c r="L249" i="1"/>
  <c r="L599" i="1"/>
  <c r="F23" i="5" l="1"/>
  <c r="F25" i="5" s="1"/>
  <c r="H23" i="5"/>
  <c r="H25" i="5" s="1"/>
  <c r="F59" i="5"/>
  <c r="F61" i="5" s="1"/>
  <c r="N59" i="5"/>
  <c r="L245" i="1"/>
  <c r="F5" i="5" s="1"/>
  <c r="C479" i="1"/>
  <c r="M259" i="1"/>
  <c r="C259" i="1" l="1"/>
  <c r="M61" i="6"/>
  <c r="C61" i="6" s="1"/>
  <c r="F7" i="5"/>
  <c r="C227" i="1"/>
  <c r="M273" i="1"/>
  <c r="M269" i="1"/>
  <c r="M267" i="1"/>
  <c r="M265" i="1"/>
  <c r="M263" i="1"/>
  <c r="M261" i="1"/>
  <c r="M253" i="1"/>
  <c r="M249" i="1"/>
  <c r="M245" i="1"/>
  <c r="M59" i="5" l="1"/>
  <c r="M271" i="1"/>
  <c r="M255" i="1"/>
  <c r="M251" i="1"/>
  <c r="M247" i="1"/>
  <c r="E7" i="5" l="1"/>
  <c r="E59" i="5"/>
  <c r="N265" i="1"/>
  <c r="N273" i="1"/>
  <c r="N269" i="1"/>
  <c r="N267" i="1"/>
  <c r="N263" i="1"/>
  <c r="N261" i="1"/>
  <c r="N475" i="1"/>
  <c r="O475" i="1"/>
  <c r="N255" i="1"/>
  <c r="N253" i="1"/>
  <c r="N251" i="1"/>
  <c r="N249" i="1"/>
  <c r="N245" i="1"/>
  <c r="D23" i="5"/>
  <c r="D25" i="5" s="1"/>
  <c r="D57" i="5" l="1"/>
  <c r="D59" i="5" s="1"/>
  <c r="N599" i="1"/>
  <c r="N271" i="1"/>
  <c r="N247" i="1"/>
  <c r="D5" i="5" s="1"/>
  <c r="D7" i="5" l="1"/>
  <c r="C209" i="1"/>
  <c r="G14" i="2" s="1"/>
  <c r="O408" i="1" l="1"/>
  <c r="C410" i="1"/>
  <c r="C315" i="1"/>
  <c r="O368" i="1"/>
  <c r="O251" i="1" s="1"/>
  <c r="O261" i="1"/>
  <c r="C57" i="5" s="1"/>
  <c r="Q57" i="5" s="1"/>
  <c r="O263" i="1"/>
  <c r="O265" i="1"/>
  <c r="O584" i="1"/>
  <c r="O590" i="1"/>
  <c r="E257" i="1"/>
  <c r="I16" i="5"/>
  <c r="O416" i="1"/>
  <c r="O269" i="1" l="1"/>
  <c r="O71" i="6"/>
  <c r="C71" i="6" s="1"/>
  <c r="M14" i="5"/>
  <c r="M16" i="5" s="1"/>
  <c r="Q58" i="5"/>
  <c r="C59" i="5"/>
  <c r="C61" i="5" s="1"/>
  <c r="D60" i="5" s="1"/>
  <c r="O247" i="1"/>
  <c r="G257" i="1"/>
  <c r="K14" i="5" s="1"/>
  <c r="N257" i="1"/>
  <c r="D14" i="5" s="1"/>
  <c r="J257" i="1"/>
  <c r="H14" i="5" s="1"/>
  <c r="K257" i="1"/>
  <c r="M257" i="1"/>
  <c r="O271" i="1"/>
  <c r="E14" i="5" l="1"/>
  <c r="E16" i="5" s="1"/>
  <c r="M275" i="1"/>
  <c r="G14" i="5"/>
  <c r="G16" i="5" s="1"/>
  <c r="H16" i="5"/>
  <c r="D16" i="5"/>
  <c r="K16" i="5"/>
  <c r="D61" i="5"/>
  <c r="E61" i="5" s="1"/>
  <c r="L257" i="1"/>
  <c r="F14" i="5" s="1"/>
  <c r="D257" i="1"/>
  <c r="N14" i="5" l="1"/>
  <c r="N16" i="5" s="1"/>
  <c r="F16" i="5"/>
  <c r="L275" i="1"/>
  <c r="L278" i="1" s="1"/>
  <c r="L78" i="6" s="1"/>
  <c r="D249" i="1"/>
  <c r="D245" i="1"/>
  <c r="D288" i="1"/>
  <c r="D243" i="1" s="1"/>
  <c r="N23" i="5" s="1"/>
  <c r="N25" i="5" s="1"/>
  <c r="D241" i="1"/>
  <c r="D45" i="6" s="1"/>
  <c r="D46" i="6" l="1"/>
  <c r="D51" i="6" s="1"/>
  <c r="D56" i="6" s="1"/>
  <c r="D58" i="6" s="1"/>
  <c r="D62" i="6" s="1"/>
  <c r="D68" i="6" s="1"/>
  <c r="D70" i="6" s="1"/>
  <c r="D72" i="6" s="1"/>
  <c r="D77" i="6" s="1"/>
  <c r="D275" i="1"/>
  <c r="D600" i="1" s="1"/>
  <c r="N5" i="5"/>
  <c r="N7" i="5" s="1"/>
  <c r="L600" i="1"/>
  <c r="C555" i="1"/>
  <c r="C511" i="1" l="1"/>
  <c r="C360" i="1" l="1"/>
  <c r="C223" i="1"/>
  <c r="C480" i="1"/>
  <c r="C513" i="1"/>
  <c r="C514" i="1"/>
  <c r="C581" i="1" l="1"/>
  <c r="H267" i="1"/>
  <c r="C569" i="1"/>
  <c r="H265" i="1"/>
  <c r="C551" i="1"/>
  <c r="C454" i="1"/>
  <c r="C392" i="1"/>
  <c r="H271" i="1"/>
  <c r="H269" i="1"/>
  <c r="H263" i="1"/>
  <c r="H261" i="1"/>
  <c r="J57" i="5" s="1"/>
  <c r="H249" i="1"/>
  <c r="C370" i="1"/>
  <c r="J59" i="5" l="1"/>
  <c r="J61" i="5" s="1"/>
  <c r="K60" i="5" s="1"/>
  <c r="H251" i="1"/>
  <c r="H247" i="1"/>
  <c r="H202" i="1"/>
  <c r="H203" i="1" s="1"/>
  <c r="K61" i="5" l="1"/>
  <c r="L60" i="5" s="1"/>
  <c r="C595" i="1"/>
  <c r="C545" i="1"/>
  <c r="C535" i="1"/>
  <c r="C359" i="1"/>
  <c r="C224" i="1" l="1"/>
  <c r="G28" i="2" s="1"/>
  <c r="C220" i="1" l="1"/>
  <c r="C215" i="1" l="1"/>
  <c r="O467" i="1"/>
  <c r="C158" i="1"/>
  <c r="C160" i="1" s="1"/>
  <c r="C597" i="1"/>
  <c r="O596" i="1"/>
  <c r="O273" i="1" s="1"/>
  <c r="H273" i="1"/>
  <c r="C516" i="1"/>
  <c r="E245" i="1"/>
  <c r="M5" i="5" s="1"/>
  <c r="C312" i="1"/>
  <c r="C484" i="1"/>
  <c r="C482" i="1" s="1"/>
  <c r="C476" i="1"/>
  <c r="C459" i="1"/>
  <c r="C458" i="1"/>
  <c r="C457" i="1"/>
  <c r="O403" i="1"/>
  <c r="C460" i="1"/>
  <c r="C456" i="1"/>
  <c r="C455" i="1"/>
  <c r="C453" i="1"/>
  <c r="C452" i="1"/>
  <c r="C451" i="1"/>
  <c r="C477" i="1"/>
  <c r="O472" i="1"/>
  <c r="C473" i="1"/>
  <c r="C472" i="1" s="1"/>
  <c r="C470" i="1"/>
  <c r="C469" i="1"/>
  <c r="C522" i="1"/>
  <c r="M7" i="5" l="1"/>
  <c r="G20" i="2"/>
  <c r="G273" i="1"/>
  <c r="G275" i="1" s="1"/>
  <c r="G600" i="1" s="1"/>
  <c r="G41" i="2"/>
  <c r="F261" i="1"/>
  <c r="C596" i="1"/>
  <c r="C475" i="1"/>
  <c r="C221" i="1"/>
  <c r="L57" i="5" l="1"/>
  <c r="F275" i="1"/>
  <c r="F278" i="1" s="1"/>
  <c r="F78" i="6" s="1"/>
  <c r="C261" i="1"/>
  <c r="G42" i="2" s="1"/>
  <c r="C273" i="1"/>
  <c r="G48" i="2" s="1"/>
  <c r="G17" i="2"/>
  <c r="C532" i="1"/>
  <c r="F600" i="1" l="1"/>
  <c r="L59" i="5"/>
  <c r="L61" i="5" s="1"/>
  <c r="R58" i="5"/>
  <c r="C369" i="1"/>
  <c r="C356" i="1"/>
  <c r="C355" i="1"/>
  <c r="M60" i="5" l="1"/>
  <c r="M61" i="5" s="1"/>
  <c r="C579" i="1"/>
  <c r="C531" i="1"/>
  <c r="C429" i="1"/>
  <c r="C352" i="1"/>
  <c r="C357" i="1"/>
  <c r="N60" i="5" l="1"/>
  <c r="N61" i="5" s="1"/>
  <c r="C208" i="1"/>
  <c r="G13" i="2" s="1"/>
  <c r="C353" i="1"/>
  <c r="C578" i="1" l="1"/>
  <c r="C533" i="1"/>
  <c r="C351" i="1"/>
  <c r="C354" i="1"/>
  <c r="S34" i="3" l="1"/>
  <c r="P35" i="3"/>
  <c r="O35" i="3"/>
  <c r="Q34" i="3"/>
  <c r="Q29" i="3"/>
  <c r="P29" i="3"/>
  <c r="T17" i="3"/>
  <c r="S17" i="3"/>
  <c r="Q17" i="3"/>
  <c r="P21" i="3"/>
  <c r="P17" i="3"/>
  <c r="O17" i="3"/>
  <c r="O21" i="3"/>
  <c r="Q24" i="3" l="1"/>
  <c r="P36" i="3"/>
  <c r="P16" i="3"/>
  <c r="Q16" i="3"/>
  <c r="Q30" i="3"/>
  <c r="Q21" i="3" l="1"/>
  <c r="C447" i="1" l="1"/>
  <c r="O446" i="1"/>
  <c r="C348" i="1"/>
  <c r="C349" i="1"/>
  <c r="C350" i="1"/>
  <c r="C446" i="1" l="1"/>
  <c r="C387" i="1" l="1"/>
  <c r="O437" i="1" l="1"/>
  <c r="C521" i="1"/>
  <c r="C530" i="1"/>
  <c r="C506" i="1"/>
  <c r="C390" i="1"/>
  <c r="C372" i="1"/>
  <c r="C347" i="1"/>
  <c r="O245" i="1"/>
  <c r="H245" i="1"/>
  <c r="C292" i="1"/>
  <c r="C434" i="1" l="1"/>
  <c r="C528" i="1" l="1"/>
  <c r="C526" i="1"/>
  <c r="C438" i="1"/>
  <c r="C342" i="1"/>
  <c r="C346" i="1" l="1"/>
  <c r="C311" i="1"/>
  <c r="C302" i="1"/>
  <c r="C509" i="1" l="1"/>
  <c r="C358" i="1"/>
  <c r="C345" i="1"/>
  <c r="C344" i="1"/>
  <c r="C343" i="1"/>
  <c r="C339" i="1"/>
  <c r="C338" i="1"/>
  <c r="C337" i="1"/>
  <c r="C336" i="1"/>
  <c r="C335" i="1"/>
  <c r="C334" i="1"/>
  <c r="C333" i="1"/>
  <c r="C328" i="1"/>
  <c r="C323" i="1"/>
  <c r="C321" i="1"/>
  <c r="C320" i="1"/>
  <c r="C317" i="1"/>
  <c r="C431" i="1" l="1"/>
  <c r="C430" i="1"/>
  <c r="C428" i="1"/>
  <c r="C427" i="1"/>
  <c r="C426" i="1"/>
  <c r="C425" i="1"/>
  <c r="C424" i="1"/>
  <c r="C423" i="1"/>
  <c r="C422" i="1"/>
  <c r="C420" i="1"/>
  <c r="C419" i="1"/>
  <c r="C418" i="1"/>
  <c r="C391" i="1"/>
  <c r="C389" i="1"/>
  <c r="C388" i="1"/>
  <c r="C386" i="1"/>
  <c r="C384" i="1"/>
  <c r="C383" i="1"/>
  <c r="C382" i="1"/>
  <c r="C381" i="1"/>
  <c r="C380" i="1"/>
  <c r="C379" i="1"/>
  <c r="C377" i="1"/>
  <c r="C376" i="1"/>
  <c r="C375" i="1"/>
  <c r="C374" i="1"/>
  <c r="C232" i="1"/>
  <c r="C222" i="1"/>
  <c r="G21" i="2" s="1"/>
  <c r="C234" i="1"/>
  <c r="C226" i="1"/>
  <c r="C225" i="1"/>
  <c r="C218" i="1"/>
  <c r="C217" i="1"/>
  <c r="G25" i="2" s="1"/>
  <c r="C216" i="1"/>
  <c r="C213" i="1"/>
  <c r="C211" i="1"/>
  <c r="C214" i="1"/>
  <c r="G29" i="2" s="1"/>
  <c r="C231" i="1"/>
  <c r="C233" i="1"/>
  <c r="G23" i="2" s="1"/>
  <c r="C230" i="1"/>
  <c r="C212" i="1"/>
  <c r="G32" i="2" s="1"/>
  <c r="C207" i="1"/>
  <c r="C219" i="1"/>
  <c r="C577" i="1"/>
  <c r="C373" i="1"/>
  <c r="G24" i="2" l="1"/>
  <c r="C235" i="1"/>
  <c r="C327" i="1"/>
  <c r="C580" i="1" l="1"/>
  <c r="C341" i="1"/>
  <c r="C340" i="1"/>
  <c r="C332" i="1"/>
  <c r="C331" i="1"/>
  <c r="C330" i="1"/>
  <c r="C329" i="1"/>
  <c r="C326" i="1"/>
  <c r="C464" i="1" l="1"/>
  <c r="C463" i="1" s="1"/>
  <c r="O463" i="1"/>
  <c r="C527" i="1" l="1"/>
  <c r="C319" i="1"/>
  <c r="C325" i="1"/>
  <c r="C322" i="1"/>
  <c r="C324" i="1"/>
  <c r="C525" i="1" l="1"/>
  <c r="C378" i="1"/>
  <c r="O399" i="1" l="1"/>
  <c r="O255" i="1" l="1"/>
  <c r="C23" i="5" l="1"/>
  <c r="C25" i="5" s="1"/>
  <c r="E288" i="1"/>
  <c r="G23" i="5"/>
  <c r="G25" i="5" s="1"/>
  <c r="C289" i="1"/>
  <c r="C288" i="1" s="1"/>
  <c r="C269" i="1"/>
  <c r="C368" i="1"/>
  <c r="E243" i="1" l="1"/>
  <c r="I23" i="5"/>
  <c r="I25" i="5" s="1"/>
  <c r="E23" i="5"/>
  <c r="E25" i="5" s="1"/>
  <c r="E27" i="5" s="1"/>
  <c r="F26" i="5" s="1"/>
  <c r="F27" i="5" s="1"/>
  <c r="G26" i="5" s="1"/>
  <c r="G27" i="5" s="1"/>
  <c r="H26" i="5" s="1"/>
  <c r="H27" i="5" s="1"/>
  <c r="I26" i="5" s="1"/>
  <c r="M23" i="5" l="1"/>
  <c r="M25" i="5" s="1"/>
  <c r="E275" i="1"/>
  <c r="E600" i="1" s="1"/>
  <c r="I27" i="5"/>
  <c r="J26" i="5" s="1"/>
  <c r="J27" i="5" s="1"/>
  <c r="K26" i="5" s="1"/>
  <c r="K27" i="5" s="1"/>
  <c r="L26" i="5" s="1"/>
  <c r="L27" i="5" s="1"/>
  <c r="M26" i="5" s="1"/>
  <c r="C243" i="1"/>
  <c r="G36" i="2" s="1"/>
  <c r="C588" i="1"/>
  <c r="C518" i="1"/>
  <c r="M27" i="5" l="1"/>
  <c r="N26" i="5" s="1"/>
  <c r="N27" i="5" s="1"/>
  <c r="E278" i="1"/>
  <c r="E78" i="6" s="1"/>
  <c r="M31" i="5"/>
  <c r="M33" i="5" s="1"/>
  <c r="O412" i="1"/>
  <c r="C409" i="1"/>
  <c r="C496" i="1" l="1"/>
  <c r="G30" i="2"/>
  <c r="G16" i="2" l="1"/>
  <c r="C547" i="1" l="1"/>
  <c r="C441" i="1"/>
  <c r="C585" i="1"/>
  <c r="G203" i="1" l="1"/>
  <c r="C440" i="1"/>
  <c r="C591" i="1" l="1"/>
  <c r="G278" i="1" l="1"/>
  <c r="G78" i="6" s="1"/>
  <c r="H255" i="1"/>
  <c r="C556" i="1"/>
  <c r="C503" i="1"/>
  <c r="C449" i="1" l="1"/>
  <c r="C468" i="1"/>
  <c r="H257" i="1" l="1"/>
  <c r="C568" i="1"/>
  <c r="G27" i="2"/>
  <c r="C559" i="1"/>
  <c r="C439" i="1"/>
  <c r="C539" i="1"/>
  <c r="C467" i="1"/>
  <c r="C444" i="1"/>
  <c r="C316" i="1"/>
  <c r="J14" i="5" l="1"/>
  <c r="J16" i="5" s="1"/>
  <c r="I275" i="1"/>
  <c r="C437" i="1"/>
  <c r="I600" i="1" l="1"/>
  <c r="I31" i="5"/>
  <c r="I33" i="5" s="1"/>
  <c r="C540" i="1"/>
  <c r="C554" i="1"/>
  <c r="C546" i="1"/>
  <c r="C550" i="1"/>
  <c r="C553" i="1"/>
  <c r="C557" i="1"/>
  <c r="C558" i="1"/>
  <c r="C543" i="1"/>
  <c r="C498" i="1"/>
  <c r="C404" i="1" l="1"/>
  <c r="C563" i="1"/>
  <c r="C587" i="1"/>
  <c r="C534" i="1"/>
  <c r="C529" i="1"/>
  <c r="C524" i="1"/>
  <c r="C523" i="1"/>
  <c r="C520" i="1"/>
  <c r="C519" i="1"/>
  <c r="C517" i="1"/>
  <c r="C515" i="1"/>
  <c r="C512" i="1"/>
  <c r="C510" i="1"/>
  <c r="C505" i="1"/>
  <c r="C504" i="1"/>
  <c r="C500" i="1"/>
  <c r="C499" i="1"/>
  <c r="I278" i="1" l="1"/>
  <c r="I78" i="6" s="1"/>
  <c r="C561" i="1"/>
  <c r="C507" i="1" l="1"/>
  <c r="C497" i="1"/>
  <c r="C501" i="1"/>
  <c r="C502" i="1"/>
  <c r="G19" i="2"/>
  <c r="C286" i="1"/>
  <c r="K241" i="1" l="1"/>
  <c r="K45" i="6" s="1"/>
  <c r="K46" i="6" s="1"/>
  <c r="K51" i="6" s="1"/>
  <c r="K56" i="6" s="1"/>
  <c r="K58" i="6" s="1"/>
  <c r="K62" i="6" s="1"/>
  <c r="K68" i="6" s="1"/>
  <c r="K70" i="6" s="1"/>
  <c r="K72" i="6" s="1"/>
  <c r="K77" i="6" s="1"/>
  <c r="G22" i="2"/>
  <c r="C405" i="1"/>
  <c r="C263" i="1"/>
  <c r="C560" i="1"/>
  <c r="C562" i="1"/>
  <c r="G31" i="5" l="1"/>
  <c r="K275" i="1"/>
  <c r="K600" i="1" s="1"/>
  <c r="C247" i="1"/>
  <c r="C413" i="1"/>
  <c r="C576" i="1"/>
  <c r="C565" i="1"/>
  <c r="C544" i="1"/>
  <c r="C433" i="1"/>
  <c r="C414" i="1"/>
  <c r="C365" i="1"/>
  <c r="G33" i="5" l="1"/>
  <c r="O267" i="1"/>
  <c r="C575" i="1"/>
  <c r="C412" i="1"/>
  <c r="K278" i="1"/>
  <c r="K78" i="6" s="1"/>
  <c r="C408" i="1"/>
  <c r="C548" i="1"/>
  <c r="C265" i="1" l="1"/>
  <c r="G44" i="2" s="1"/>
  <c r="C401" i="1"/>
  <c r="C397" i="1"/>
  <c r="C371" i="1"/>
  <c r="C255" i="1" l="1"/>
  <c r="C400" i="1"/>
  <c r="C307" i="1" l="1"/>
  <c r="C417" i="1"/>
  <c r="C416" i="1" s="1"/>
  <c r="N241" i="1" l="1"/>
  <c r="O194" i="1"/>
  <c r="N275" i="1" l="1"/>
  <c r="N278" i="1" s="1"/>
  <c r="N45" i="6"/>
  <c r="N46" i="6" s="1"/>
  <c r="N51" i="6" s="1"/>
  <c r="N56" i="6" s="1"/>
  <c r="N58" i="6" s="1"/>
  <c r="N62" i="6" s="1"/>
  <c r="N68" i="6" s="1"/>
  <c r="N70" i="6" s="1"/>
  <c r="N72" i="6" s="1"/>
  <c r="N77" i="6" s="1"/>
  <c r="M34" i="3"/>
  <c r="D31" i="5"/>
  <c r="D33" i="5" s="1"/>
  <c r="C251" i="1"/>
  <c r="N78" i="6" l="1"/>
  <c r="N600" i="1"/>
  <c r="C301" i="1"/>
  <c r="C303" i="1"/>
  <c r="C306" i="1"/>
  <c r="C308" i="1"/>
  <c r="C310" i="1"/>
  <c r="C313" i="1"/>
  <c r="C309" i="1"/>
  <c r="C594" i="1"/>
  <c r="C435" i="1"/>
  <c r="C432" i="1" s="1"/>
  <c r="G18" i="2"/>
  <c r="G15" i="2"/>
  <c r="G33" i="2" l="1"/>
  <c r="M599" i="1"/>
  <c r="H33" i="2" l="1"/>
  <c r="M241" i="1"/>
  <c r="O443" i="1"/>
  <c r="C406" i="1"/>
  <c r="M278" i="1" l="1"/>
  <c r="M45" i="6"/>
  <c r="M46" i="6" s="1"/>
  <c r="M51" i="6" s="1"/>
  <c r="M56" i="6" s="1"/>
  <c r="M58" i="6" s="1"/>
  <c r="M62" i="6" s="1"/>
  <c r="M68" i="6" s="1"/>
  <c r="M70" i="6" s="1"/>
  <c r="M72" i="6" s="1"/>
  <c r="M77" i="6" s="1"/>
  <c r="M78" i="6" s="1"/>
  <c r="E31" i="5"/>
  <c r="E33" i="5" s="1"/>
  <c r="O257" i="1"/>
  <c r="C14" i="5" s="1"/>
  <c r="C443" i="1"/>
  <c r="C16" i="5" l="1"/>
  <c r="C18" i="5" s="1"/>
  <c r="M600" i="1"/>
  <c r="C305" i="1"/>
  <c r="C304" i="1"/>
  <c r="C300" i="1"/>
  <c r="C584" i="1"/>
  <c r="Q14" i="5" l="1"/>
  <c r="Q15" i="5" s="1"/>
  <c r="R15" i="5" s="1"/>
  <c r="D18" i="5"/>
  <c r="C593" i="1"/>
  <c r="E18" i="5" l="1"/>
  <c r="C299" i="1"/>
  <c r="C291" i="1" s="1"/>
  <c r="H241" i="1"/>
  <c r="H45" i="6" s="1"/>
  <c r="H46" i="6" l="1"/>
  <c r="H51" i="6" s="1"/>
  <c r="H56" i="6" s="1"/>
  <c r="H58" i="6" s="1"/>
  <c r="H62" i="6" s="1"/>
  <c r="H68" i="6" s="1"/>
  <c r="H70" i="6" s="1"/>
  <c r="H72" i="6" s="1"/>
  <c r="H77" i="6" s="1"/>
  <c r="J31" i="5"/>
  <c r="J33" i="5" s="1"/>
  <c r="F18" i="5"/>
  <c r="H253" i="1"/>
  <c r="C403" i="1"/>
  <c r="C245" i="1"/>
  <c r="H275" i="1" l="1"/>
  <c r="H278" i="1" s="1"/>
  <c r="H78" i="6" s="1"/>
  <c r="J5" i="5"/>
  <c r="J7" i="5" s="1"/>
  <c r="G17" i="5"/>
  <c r="G18" i="5" s="1"/>
  <c r="C271" i="1"/>
  <c r="C590" i="1"/>
  <c r="H17" i="5" l="1"/>
  <c r="H18" i="5" s="1"/>
  <c r="H600" i="1"/>
  <c r="C538" i="1"/>
  <c r="I17" i="5" l="1"/>
  <c r="I18" i="5" s="1"/>
  <c r="J285" i="1"/>
  <c r="J599" i="1" s="1"/>
  <c r="J17" i="5" l="1"/>
  <c r="J18" i="5" s="1"/>
  <c r="J241" i="1"/>
  <c r="O364" i="1"/>
  <c r="O249" i="1" s="1"/>
  <c r="J275" i="1" l="1"/>
  <c r="J600" i="1" s="1"/>
  <c r="J45" i="6"/>
  <c r="K17" i="5"/>
  <c r="K18" i="5" s="1"/>
  <c r="C249" i="1"/>
  <c r="H31" i="5"/>
  <c r="C364" i="1"/>
  <c r="J46" i="6" l="1"/>
  <c r="J51" i="6" s="1"/>
  <c r="J56" i="6" s="1"/>
  <c r="J58" i="6" s="1"/>
  <c r="J62" i="6" s="1"/>
  <c r="J68" i="6" s="1"/>
  <c r="J70" i="6" s="1"/>
  <c r="J72" i="6" s="1"/>
  <c r="J77" i="6" s="1"/>
  <c r="L17" i="5"/>
  <c r="L18" i="5" s="1"/>
  <c r="H33" i="5"/>
  <c r="M17" i="5" l="1"/>
  <c r="M18" i="5" s="1"/>
  <c r="N17" i="5" s="1"/>
  <c r="N18" i="5" s="1"/>
  <c r="C399" i="1"/>
  <c r="C541" i="1" l="1"/>
  <c r="C564" i="1" l="1"/>
  <c r="Q31" i="3" l="1"/>
  <c r="O396" i="1"/>
  <c r="O253" i="1" l="1"/>
  <c r="C5" i="5" s="1"/>
  <c r="C396" i="1"/>
  <c r="O285" i="1"/>
  <c r="O241" i="1" s="1"/>
  <c r="O45" i="6" s="1"/>
  <c r="O158" i="1"/>
  <c r="O46" i="6" l="1"/>
  <c r="O51" i="6" s="1"/>
  <c r="O56" i="6" s="1"/>
  <c r="O58" i="6" s="1"/>
  <c r="O62" i="6" s="1"/>
  <c r="O68" i="6" s="1"/>
  <c r="O70" i="6" s="1"/>
  <c r="O72" i="6" s="1"/>
  <c r="O77" i="6" s="1"/>
  <c r="C45" i="6"/>
  <c r="C46" i="6" s="1"/>
  <c r="C51" i="6" s="1"/>
  <c r="C56" i="6" s="1"/>
  <c r="C58" i="6" s="1"/>
  <c r="C62" i="6" s="1"/>
  <c r="C68" i="6" s="1"/>
  <c r="C70" i="6" s="1"/>
  <c r="C72" i="6" s="1"/>
  <c r="C77" i="6" s="1"/>
  <c r="C31" i="5"/>
  <c r="C33" i="5" s="1"/>
  <c r="C35" i="5" s="1"/>
  <c r="O275" i="1"/>
  <c r="O160" i="1"/>
  <c r="O162" i="1"/>
  <c r="O599" i="1"/>
  <c r="C7" i="5"/>
  <c r="C9" i="5" s="1"/>
  <c r="Q5" i="5"/>
  <c r="Q6" i="5" s="1"/>
  <c r="R6" i="5" s="1"/>
  <c r="C253" i="1"/>
  <c r="G37" i="2" s="1"/>
  <c r="C285" i="1"/>
  <c r="C599" i="1" s="1"/>
  <c r="G43" i="2"/>
  <c r="G47" i="2"/>
  <c r="C267" i="1"/>
  <c r="Q31" i="5" l="1"/>
  <c r="Q32" i="5"/>
  <c r="R32" i="5" s="1"/>
  <c r="U31" i="5" s="1"/>
  <c r="U34" i="3"/>
  <c r="D9" i="5"/>
  <c r="D34" i="5"/>
  <c r="D35" i="5" s="1"/>
  <c r="E34" i="5" s="1"/>
  <c r="E35" i="5" s="1"/>
  <c r="F34" i="5" s="1"/>
  <c r="F35" i="5" s="1"/>
  <c r="G34" i="5" s="1"/>
  <c r="O278" i="1"/>
  <c r="O78" i="6" s="1"/>
  <c r="C241" i="1"/>
  <c r="G40" i="2" s="1"/>
  <c r="H40" i="2" s="1"/>
  <c r="G46" i="2"/>
  <c r="G45" i="2"/>
  <c r="E9" i="5" l="1"/>
  <c r="G35" i="5"/>
  <c r="H34" i="5" s="1"/>
  <c r="H35" i="5" s="1"/>
  <c r="I34" i="5" s="1"/>
  <c r="I35" i="5" s="1"/>
  <c r="J34" i="5" s="1"/>
  <c r="J35" i="5" s="1"/>
  <c r="K34" i="5" s="1"/>
  <c r="U30" i="5"/>
  <c r="U32" i="5" s="1"/>
  <c r="O600" i="1"/>
  <c r="H37" i="2"/>
  <c r="I37" i="2" s="1"/>
  <c r="F9" i="5" l="1"/>
  <c r="K35" i="5"/>
  <c r="L34" i="5" s="1"/>
  <c r="L35" i="5" s="1"/>
  <c r="M34" i="5" s="1"/>
  <c r="M35" i="5" s="1"/>
  <c r="N35" i="5" s="1"/>
  <c r="O202" i="1"/>
  <c r="H14" i="3"/>
  <c r="O203" i="1" l="1"/>
  <c r="G8" i="5"/>
  <c r="G9" i="5" s="1"/>
  <c r="M202" i="1"/>
  <c r="M35" i="3" s="1"/>
  <c r="N202" i="1"/>
  <c r="C4" i="1"/>
  <c r="H8" i="5" l="1"/>
  <c r="H9" i="5" s="1"/>
  <c r="M203" i="1"/>
  <c r="N203" i="1"/>
  <c r="L203" i="1"/>
  <c r="K202" i="1"/>
  <c r="I8" i="5" l="1"/>
  <c r="I9" i="5" s="1"/>
  <c r="K203" i="1"/>
  <c r="J202" i="1"/>
  <c r="J8" i="5" l="1"/>
  <c r="J9" i="5" s="1"/>
  <c r="J203" i="1"/>
  <c r="E203" i="1"/>
  <c r="F202" i="1"/>
  <c r="K8" i="5" l="1"/>
  <c r="K9" i="5" s="1"/>
  <c r="F203" i="1"/>
  <c r="S35" i="3"/>
  <c r="L8" i="5" l="1"/>
  <c r="L9" i="5" s="1"/>
  <c r="J278" i="1"/>
  <c r="J78" i="6" s="1"/>
  <c r="M8" i="5" l="1"/>
  <c r="M9" i="5" s="1"/>
  <c r="H42" i="2"/>
  <c r="N8" i="5" l="1"/>
  <c r="N9" i="5" s="1"/>
  <c r="C450" i="1"/>
  <c r="C257" i="1" l="1"/>
  <c r="D278" i="1"/>
  <c r="D78" i="6" s="1"/>
  <c r="C275" i="1" l="1"/>
  <c r="G38" i="2"/>
  <c r="G49" i="2" s="1"/>
  <c r="G51" i="2" s="1"/>
  <c r="C600" i="1" l="1"/>
  <c r="C278" i="1"/>
  <c r="C279" i="1" s="1"/>
  <c r="C51" i="2"/>
  <c r="H38" i="2"/>
  <c r="H48" i="2"/>
  <c r="C78" i="6" l="1"/>
  <c r="H51" i="2"/>
  <c r="I38" i="2"/>
  <c r="J38" i="2" s="1"/>
  <c r="P30" i="3" l="1"/>
</calcChain>
</file>

<file path=xl/sharedStrings.xml><?xml version="1.0" encoding="utf-8"?>
<sst xmlns="http://schemas.openxmlformats.org/spreadsheetml/2006/main" count="937" uniqueCount="715">
  <si>
    <t>CBDN - CONFEDERAÇÃO BRASILEIRA DE DESPORTOS NA NEVE</t>
  </si>
  <si>
    <t>Acumulado</t>
  </si>
  <si>
    <t>A T I V O</t>
  </si>
  <si>
    <t>CIRCULANTE</t>
  </si>
  <si>
    <t>Caixa em US$</t>
  </si>
  <si>
    <t>Caixa em Euros</t>
  </si>
  <si>
    <t>Banco Brasil-C/C 12.733-7</t>
  </si>
  <si>
    <t>Banco do Brasil C/C 14936-5</t>
  </si>
  <si>
    <t>Banco do Brasil C/C 19566-9</t>
  </si>
  <si>
    <t>Banco do Brasil C/C 19567-7</t>
  </si>
  <si>
    <t>Banco do Brasil C/C 19568-5</t>
  </si>
  <si>
    <t xml:space="preserve">Banco Transitoria </t>
  </si>
  <si>
    <t>C.E.F. Ag.3097 C/ 863-1</t>
  </si>
  <si>
    <t>Caixa Economica Federal ag 3097 C/1255-8</t>
  </si>
  <si>
    <t>Caixa Economica Federal ag 3097 C/1360-0</t>
  </si>
  <si>
    <t>Caixa Economica Federal ag 3097 C/1395-3</t>
  </si>
  <si>
    <t>Caixa Economica Federal ag 3097 C/1414-3</t>
  </si>
  <si>
    <t>Caixa Economica Federal ag 3097 C/1420-8</t>
  </si>
  <si>
    <t>Caixa Economica Federal ag 3097 C/1415-1</t>
  </si>
  <si>
    <t>Caixa Economica Federal ag 3097 C/1416-0</t>
  </si>
  <si>
    <t>Caixa Economica Federal ag 3097 C/1442-9</t>
  </si>
  <si>
    <t>Caixa Economica Federal ag 3097 C/1441-0</t>
  </si>
  <si>
    <t>Caixa Economica Federal ag 3097 C/1440-2</t>
  </si>
  <si>
    <t>Caixa Economica Federal ag 3097 C/1439-9</t>
  </si>
  <si>
    <t>Caixa Economica Federal ag 3097 C/1443-7</t>
  </si>
  <si>
    <t>Caixa Economica Federal ag 3097 C/1515-8</t>
  </si>
  <si>
    <t>Caixa Economica Federal ag 3097 C/1511-5</t>
  </si>
  <si>
    <t>Caixa Economica Federal ag 3097 C/1518-2</t>
  </si>
  <si>
    <t>Caixa Economica Federal ag 3097 C/1516-6</t>
  </si>
  <si>
    <t>Caixa Economica Federal ag 3097 C/1519-0</t>
  </si>
  <si>
    <t>Caixa Economica Federal ag 3097 C/1513-1</t>
  </si>
  <si>
    <t>Caixa Economica Federal ag 3097 C/1604-9</t>
  </si>
  <si>
    <t>Caixa Economica Federal ag 3097 C/1605-7</t>
  </si>
  <si>
    <t>Caixa Economica Federal ag 3097 C/1606-5</t>
  </si>
  <si>
    <t>Caixa Economica Federal ag 3097 C/1607-3</t>
  </si>
  <si>
    <t>Caixa Economica Federal ag 3097 C/1690-1</t>
  </si>
  <si>
    <t>Caixa Economica Federal ag 3097 C/1691-0</t>
  </si>
  <si>
    <t>Caixa Economica Federal ag 3097 C/1692-8</t>
  </si>
  <si>
    <t>Aplicação FIX conta 1420-8 CEF</t>
  </si>
  <si>
    <t>Aplicação FIX conta 1414-3 CEF</t>
  </si>
  <si>
    <t>Aplicação FIX conta 1415-1 CEF</t>
  </si>
  <si>
    <t>Aplicação FIX conta 1416-0 CEF</t>
  </si>
  <si>
    <t>Aplicação FIX conta 1439-9 CEF</t>
  </si>
  <si>
    <t>Aplicação FIX conta 1440-2 CEF</t>
  </si>
  <si>
    <t>Aplicação FIX conta 1443-7 CEF</t>
  </si>
  <si>
    <t>Aplicação FIX conta 1515-8 CEF</t>
  </si>
  <si>
    <t>Aplicação FIX conta 1511-5 CEF</t>
  </si>
  <si>
    <t>Aplicação FIX conta 1518-2 CEF</t>
  </si>
  <si>
    <t>C/C F.I.S -CHF</t>
  </si>
  <si>
    <t>Adto. Isabel Clark</t>
  </si>
  <si>
    <t>Adto. Guido Visser</t>
  </si>
  <si>
    <t>Adto. Lucas Rezende</t>
  </si>
  <si>
    <t>Adto. Rosangela Biasetto</t>
  </si>
  <si>
    <t>Adto. Augustinho Teixeira</t>
  </si>
  <si>
    <t>Adto. Manex Salsamendi Silva</t>
  </si>
  <si>
    <t>TOTAL CIRCULANTE</t>
  </si>
  <si>
    <t>IMOBILIZADO</t>
  </si>
  <si>
    <t>Máquinas e Equipamentos</t>
  </si>
  <si>
    <t>Móveis e Utensílios</t>
  </si>
  <si>
    <t>Equips.Software/Hardware</t>
  </si>
  <si>
    <t>Equipamentos Esportivos SICONV</t>
  </si>
  <si>
    <t>Equipamentos Esportivos LEI PIVA</t>
  </si>
  <si>
    <t>Maquinas/Aparelhos Eletricos (Lei Piva)</t>
  </si>
  <si>
    <t>Equipamentos Software/Hardware (Lei PIVA)</t>
  </si>
  <si>
    <t>Equipamentos Esportivos FIS</t>
  </si>
  <si>
    <t xml:space="preserve">Equipamentos Esportivos </t>
  </si>
  <si>
    <t>Equipamentos Esportivos LEI PIVA CPB</t>
  </si>
  <si>
    <t>Móveis e Utensílios (LEI PIVA)</t>
  </si>
  <si>
    <t>(-)Depreciação Acumulada</t>
  </si>
  <si>
    <t>TOTAL IMOBILIZADO</t>
  </si>
  <si>
    <t>TOTAL DO ATIVO</t>
  </si>
  <si>
    <t xml:space="preserve"> </t>
  </si>
  <si>
    <t>P A S S I VO</t>
  </si>
  <si>
    <t>Assis. Médica a Pagar</t>
  </si>
  <si>
    <t>INSS À Recolher</t>
  </si>
  <si>
    <t>IRRF à Recolher</t>
  </si>
  <si>
    <t>FGTS à Recolher</t>
  </si>
  <si>
    <t>PIS s/ Folha de Pagamento</t>
  </si>
  <si>
    <t>Contas a pagar</t>
  </si>
  <si>
    <t>Provisão 13º salario à Pagar</t>
  </si>
  <si>
    <t>Provisão Férias à Pagar</t>
  </si>
  <si>
    <t>Provisão INSS à Pagar</t>
  </si>
  <si>
    <t>Provisão FGTS à Pagar</t>
  </si>
  <si>
    <t>Provisão IR a Pagar</t>
  </si>
  <si>
    <t>Provisão PIS a Pagar</t>
  </si>
  <si>
    <t>PATRIMÔNIO LÍQUIDO</t>
  </si>
  <si>
    <t>Resultado deste Exercício</t>
  </si>
  <si>
    <t>TOTAL PATRIMONIO LÍQUIDO</t>
  </si>
  <si>
    <t>TOTAL DO PASSIVO</t>
  </si>
  <si>
    <t>DEMONSTRAÇÃO DO RESULTADO DO EXERCÍCIO</t>
  </si>
  <si>
    <t>RECEITA</t>
  </si>
  <si>
    <t>Rec. Lei Piva Comite Olimpico do Brasil</t>
  </si>
  <si>
    <t xml:space="preserve">Rec. COB Solidariedade Olimpica </t>
  </si>
  <si>
    <t>Rec. c/ Doações</t>
  </si>
  <si>
    <t>Rec.de Aplicação Financeira</t>
  </si>
  <si>
    <t>Rec. Financeira CPB</t>
  </si>
  <si>
    <t>Receita Variação Cambial</t>
  </si>
  <si>
    <t>Subvenção Fundação Agitos</t>
  </si>
  <si>
    <t>Subvenção FIS</t>
  </si>
  <si>
    <t>Subvenção IBU - International Biathlon Union</t>
  </si>
  <si>
    <t>Receita Lei Piva Comite Paralimpico Brasileiro</t>
  </si>
  <si>
    <t>Receita com Inscriçoes</t>
  </si>
  <si>
    <t>Receita com Participações em Provas</t>
  </si>
  <si>
    <t>Receita com Eventos</t>
  </si>
  <si>
    <t>Receita de Anuidades de Filiação</t>
  </si>
  <si>
    <t>Receita Prog Associação e Fidelidade</t>
  </si>
  <si>
    <t>Receita Financeira Siconv IV</t>
  </si>
  <si>
    <t>Receita  Siconv IV</t>
  </si>
  <si>
    <t>Receita - Secr Mun de Esp de São Carlos</t>
  </si>
  <si>
    <t>Receita da Lei de Incentivo</t>
  </si>
  <si>
    <t>Receita Financeira (PIVA-COB) Poupança</t>
  </si>
  <si>
    <t>TOTAL DA RECEITA</t>
  </si>
  <si>
    <t>DESPESAS</t>
  </si>
  <si>
    <t>Progr. Solidar. Olímpica</t>
  </si>
  <si>
    <t>Desp c/ convenio ME N° 870519/2017</t>
  </si>
  <si>
    <t>Desenv.e Fomento da Modalidade  (Lei Piva - COB)</t>
  </si>
  <si>
    <t>Desenv.e Manut.Desporto (Lei Piva - COB)</t>
  </si>
  <si>
    <t>Formação Rec. Humanos (Lei Piva - COB)</t>
  </si>
  <si>
    <t>Preparação Técnica (Lei Piva - COB)</t>
  </si>
  <si>
    <t>Manut./Locomoção Atleta (Lei Piva - COB)</t>
  </si>
  <si>
    <t>Partic.em Event.Esport. (Lei Piva - COB)</t>
  </si>
  <si>
    <t>Desp. Lei Piva - Comitê Paralimpico Brasileiro</t>
  </si>
  <si>
    <t>Programa COB Doação</t>
  </si>
  <si>
    <t>Desp. Administrativas</t>
  </si>
  <si>
    <t>Desp. Comunicação</t>
  </si>
  <si>
    <t>Desp. Tributárias</t>
  </si>
  <si>
    <t>Desp. Financeiras</t>
  </si>
  <si>
    <t>TOTAL DE DESPESAS</t>
  </si>
  <si>
    <t>RESULTADO DO PERIODO</t>
  </si>
  <si>
    <t>Desp.Progr.Sol.Olímpica</t>
  </si>
  <si>
    <t>Desp. c/ Convenio ME N° 870519/2017</t>
  </si>
  <si>
    <t>Progr./Projeto Fomento - LEI PIVA COB</t>
  </si>
  <si>
    <t>Viagens e Estadias</t>
  </si>
  <si>
    <t>Participação em Congresso</t>
  </si>
  <si>
    <t>Despesa Mat. Escr. e Mat. Gráfico</t>
  </si>
  <si>
    <t>Trofeus/Medalhas/Placas</t>
  </si>
  <si>
    <t>Desp c/ Salarios</t>
  </si>
  <si>
    <t xml:space="preserve">Desp. Encargos Sociais </t>
  </si>
  <si>
    <t>Assistencia Médica</t>
  </si>
  <si>
    <t>Desp. c/ Alimentação DP</t>
  </si>
  <si>
    <t>Desp. c/ Transporte DP</t>
  </si>
  <si>
    <t>Provisão de Férias</t>
  </si>
  <si>
    <t xml:space="preserve">Provisão de 13° Salario </t>
  </si>
  <si>
    <t>Provisão de INSS s/ Férias</t>
  </si>
  <si>
    <t>Provisão de FGTS s/ Férias</t>
  </si>
  <si>
    <t>Provisão de INSS s/ 13° Salario</t>
  </si>
  <si>
    <t>Provisão de FGTS s/ 13° Salario</t>
  </si>
  <si>
    <t>Provisão de PIS s/ 13° Salario</t>
  </si>
  <si>
    <t>Provisão de Pis s/ Férias</t>
  </si>
  <si>
    <t>Estagiários</t>
  </si>
  <si>
    <t>Despesa c/ Rescisão</t>
  </si>
  <si>
    <t>Desenv./Manut.Desporto - LEI PIVA COB</t>
  </si>
  <si>
    <t>Auditoria</t>
  </si>
  <si>
    <t>Publicações</t>
  </si>
  <si>
    <t>Assess. Contábil</t>
  </si>
  <si>
    <t>Despesas C/Salários</t>
  </si>
  <si>
    <t xml:space="preserve">Despesas c/Encargos Sociais </t>
  </si>
  <si>
    <t>Assistencia Medica</t>
  </si>
  <si>
    <t xml:space="preserve">Desp c/Alimentação </t>
  </si>
  <si>
    <t>Desp c/ Transporte</t>
  </si>
  <si>
    <t>Provisão Férias</t>
  </si>
  <si>
    <t>Provisão 13o. Salario</t>
  </si>
  <si>
    <t>Serviços Administrativos</t>
  </si>
  <si>
    <t>Provisão INSS s/Férias</t>
  </si>
  <si>
    <t>Provisão FGTS s/Férias</t>
  </si>
  <si>
    <t>Provisão INSS s/13º Salário</t>
  </si>
  <si>
    <t>Provisão FGTS s/13º Salário</t>
  </si>
  <si>
    <t>Taxas Municipais</t>
  </si>
  <si>
    <t>Despesa c/ Correios e Motoboy</t>
  </si>
  <si>
    <t>Desp. c/ Mat de Escritório/Impressos</t>
  </si>
  <si>
    <t>Despesa Taxa e Cartório</t>
  </si>
  <si>
    <t>Auxílio Creche</t>
  </si>
  <si>
    <t xml:space="preserve">Aluguel Escritório </t>
  </si>
  <si>
    <t xml:space="preserve">Provisão de PIS s/ 13° salario </t>
  </si>
  <si>
    <t>Desp. C/ Dominio - Internet</t>
  </si>
  <si>
    <t>Manutenção e Reparos</t>
  </si>
  <si>
    <t>Clipping</t>
  </si>
  <si>
    <t>Despesas com Softwares</t>
  </si>
  <si>
    <t>Assess. Imprensa</t>
  </si>
  <si>
    <t>Despesas c/ Juros e Multa</t>
  </si>
  <si>
    <t>Passagem Aerea</t>
  </si>
  <si>
    <t>Desenvolvimento e Manutenção de sites</t>
  </si>
  <si>
    <t xml:space="preserve">Assessoria em Recursos Humanos </t>
  </si>
  <si>
    <t>Despesa c/ Carreto</t>
  </si>
  <si>
    <t>Materiais de higiene, limpeza e copa</t>
  </si>
  <si>
    <t>Serviço de Limpeza e Conservação</t>
  </si>
  <si>
    <t>Internet e Telefone</t>
  </si>
  <si>
    <t>Consumo de Energia Elétrica</t>
  </si>
  <si>
    <t>Assessoria em TI</t>
  </si>
  <si>
    <t>Despesas com Condomínio</t>
  </si>
  <si>
    <t>FORM.REC.HUMANOS - LEI PIVA COB</t>
  </si>
  <si>
    <t>Organiz. Realiz. Cursos Técnicos</t>
  </si>
  <si>
    <t>PREPARAÇÃO TÉCNICA - LEI PIVA COB</t>
  </si>
  <si>
    <t>Equipes Olimpicas Permanentes</t>
  </si>
  <si>
    <t>Estágios e Treinamentos</t>
  </si>
  <si>
    <t>Aquis. Mat. e Equip. Esportivos</t>
  </si>
  <si>
    <t>Taxas e Emolumentos</t>
  </si>
  <si>
    <t>Desp. c/ Salario</t>
  </si>
  <si>
    <t xml:space="preserve">Desp. c/ Encargos Sociais </t>
  </si>
  <si>
    <t xml:space="preserve">Desp. c/ Alimentação </t>
  </si>
  <si>
    <t>Desp. c/ Transporte</t>
  </si>
  <si>
    <t>Provisão de 13° Salario</t>
  </si>
  <si>
    <t>Provisão de INSS Férias</t>
  </si>
  <si>
    <t>Provisão FGTS s/ Férias</t>
  </si>
  <si>
    <t xml:space="preserve">Provisão de INSS s/ 13° Salario </t>
  </si>
  <si>
    <t>Provisão FGTS s/ 13°  Salario</t>
  </si>
  <si>
    <t>Provisão PIS s/ 13° Salario</t>
  </si>
  <si>
    <t>Provisão PIS s/ Férias</t>
  </si>
  <si>
    <t>Seguros</t>
  </si>
  <si>
    <t>Despesas de Veículos</t>
  </si>
  <si>
    <t>Despesas com Rescisão</t>
  </si>
  <si>
    <t>MANUT.LOCOM.ATLETAS - LEI PIVA COB</t>
  </si>
  <si>
    <t>Manut.e Locom.de Atletas</t>
  </si>
  <si>
    <t>PARTIC.EVENTOS ESPORT. - LEI PIVA COB</t>
  </si>
  <si>
    <t xml:space="preserve">Participação Treinamentos e Provas </t>
  </si>
  <si>
    <t>Organização de Campeonatos</t>
  </si>
  <si>
    <t>CUSTEIO DE COM. TECN E ATLETAS  L. Piva CPB</t>
  </si>
  <si>
    <t xml:space="preserve">Auxilio viagens para técnicos </t>
  </si>
  <si>
    <t>Auxilio viagens para atletas</t>
  </si>
  <si>
    <t>Bolsa Incentivo</t>
  </si>
  <si>
    <t>GASTOS COM PREMIAÇÕES</t>
  </si>
  <si>
    <t>Trofeus e Medalhas</t>
  </si>
  <si>
    <t>HOSPEDAGEM E ALIMENTAÇÃO - Lei Piva CPB</t>
  </si>
  <si>
    <t xml:space="preserve">Hospedagem </t>
  </si>
  <si>
    <t>Alimentação</t>
  </si>
  <si>
    <t>DESPESA COM PESSOAL - Lei Piva CPB</t>
  </si>
  <si>
    <t>Desp c/ Alimentação</t>
  </si>
  <si>
    <t>Desp c/ Salario</t>
  </si>
  <si>
    <t>Desp c/ Encargos Sociais</t>
  </si>
  <si>
    <t>Desp c/ Assistencia Médica</t>
  </si>
  <si>
    <t>INSS s/ Férias</t>
  </si>
  <si>
    <t>FGTS s/ Férias</t>
  </si>
  <si>
    <t>INSS s/ 13° Salario</t>
  </si>
  <si>
    <t>FGTS s/ 13° Salario</t>
  </si>
  <si>
    <t>Provisão de PIS s/ Férias</t>
  </si>
  <si>
    <t>Provisão de PIS s/ 13° Salarios</t>
  </si>
  <si>
    <t xml:space="preserve">Despesas c/ Rescisão </t>
  </si>
  <si>
    <t>Estagiario</t>
  </si>
  <si>
    <t>PASSAGENS - Lei Piva CPB</t>
  </si>
  <si>
    <t>Passagens Internacionais</t>
  </si>
  <si>
    <t>Passagens Nacionais</t>
  </si>
  <si>
    <t>Excesso de Bagagens</t>
  </si>
  <si>
    <t>TAXAS</t>
  </si>
  <si>
    <t>Taxas de Cambio</t>
  </si>
  <si>
    <t>Taxas Bancárias</t>
  </si>
  <si>
    <t>Taxas de Inscrições</t>
  </si>
  <si>
    <t>TREINAMENTO E CAPACITAÇÃO- Lei Piva CPB</t>
  </si>
  <si>
    <t>Treinamentos Esportivos</t>
  </si>
  <si>
    <t>AQUISIÇÃO DE EQUIPAMENTOS ESPORTIVOS</t>
  </si>
  <si>
    <t>Equipamentos Esportivos (Outros)</t>
  </si>
  <si>
    <t xml:space="preserve">SERVIÇOS TERCEIRO PF E PJ </t>
  </si>
  <si>
    <t>Treinadores PF</t>
  </si>
  <si>
    <t>Psicológo PJ</t>
  </si>
  <si>
    <t>Preparador Fisico PF</t>
  </si>
  <si>
    <t>Outros Serviços PF</t>
  </si>
  <si>
    <t>Exames Laboratoriais e Aquis de Mat. Médico</t>
  </si>
  <si>
    <t>Assessoria Contábil</t>
  </si>
  <si>
    <t>Assessoria em Recursos Humanos</t>
  </si>
  <si>
    <t>Serviços Admnistrativos</t>
  </si>
  <si>
    <t>LOCAÇÃO DE VEÍCULOS E LOCOMOÇÃO</t>
  </si>
  <si>
    <t>Automovéis/Van/Onibus</t>
  </si>
  <si>
    <t>LOCAÇÃO DE IMÓVEIS</t>
  </si>
  <si>
    <t>Locação de sala/escritório</t>
  </si>
  <si>
    <t>IPTU</t>
  </si>
  <si>
    <t>SOFTWARE</t>
  </si>
  <si>
    <t>Despesas com Software/Hardware</t>
  </si>
  <si>
    <t>CONTAS DE CONSUMO</t>
  </si>
  <si>
    <t>Impressos e Material de Escritório</t>
  </si>
  <si>
    <t>PROGRAMA COB DOAÇÃO</t>
  </si>
  <si>
    <t>Testes COVID</t>
  </si>
  <si>
    <t>Programas de Associação e Fidelidade</t>
  </si>
  <si>
    <t>Treinamento e Particp. de Provas</t>
  </si>
  <si>
    <t>Manutenção e Locomoção de Atletas</t>
  </si>
  <si>
    <t>Assessoria de Comunicação</t>
  </si>
  <si>
    <t>DESP. ADMINISTRATIVAS</t>
  </si>
  <si>
    <t>Serviços Terceiros PJ</t>
  </si>
  <si>
    <t>Copa e Refeições</t>
  </si>
  <si>
    <t>Correios e Malotes</t>
  </si>
  <si>
    <t>Condução</t>
  </si>
  <si>
    <t>Assoc. de Classe</t>
  </si>
  <si>
    <t>Despesas com Fretes</t>
  </si>
  <si>
    <t>Bens de Natureza Permanente/licenças</t>
  </si>
  <si>
    <t>Despesas c/Dominio - Internet</t>
  </si>
  <si>
    <t xml:space="preserve">Manutenção e Reparos </t>
  </si>
  <si>
    <t>Anúncios e Publicações</t>
  </si>
  <si>
    <t>Deprec. e Amortização</t>
  </si>
  <si>
    <t>Medicina do Trabalho e Exames Laboratoriais</t>
  </si>
  <si>
    <t>Vale Refeição</t>
  </si>
  <si>
    <t>Despesas c/ Salários</t>
  </si>
  <si>
    <t xml:space="preserve">Encargos Sociais </t>
  </si>
  <si>
    <t>Versões &amp; Traduções</t>
  </si>
  <si>
    <t>Reembolso de Despesas</t>
  </si>
  <si>
    <t>Despesas c/ Cerimoniais</t>
  </si>
  <si>
    <t>Vale Alimentação</t>
  </si>
  <si>
    <t>Assembleia Gerais</t>
  </si>
  <si>
    <t xml:space="preserve">Provisão 13° Salario </t>
  </si>
  <si>
    <t>Material de Limpeza</t>
  </si>
  <si>
    <t>Despesas c/ Inscrições de Atletas</t>
  </si>
  <si>
    <t>Despesa com curso</t>
  </si>
  <si>
    <t>Promoçõe e Eventos</t>
  </si>
  <si>
    <t>Treinam.Particip. Provas</t>
  </si>
  <si>
    <t>Despesas c/Organização de Campeonatos</t>
  </si>
  <si>
    <t>Desp. Assistencia Médica</t>
  </si>
  <si>
    <t>Equipe Olimpica Permanente</t>
  </si>
  <si>
    <t>Ciência Aplicada ao Esporte</t>
  </si>
  <si>
    <t>Direitos de Televisonamentos</t>
  </si>
  <si>
    <t>Desp de Licença e Pratica de Tiro</t>
  </si>
  <si>
    <t>Serviços Marketing Esportivo</t>
  </si>
  <si>
    <t>Participação em Reuniões/Congressos</t>
  </si>
  <si>
    <t>Desporto Paralimpico</t>
  </si>
  <si>
    <t>Projeto de Informação e Pesquisa</t>
  </si>
  <si>
    <t>Assessoria de Imprensa</t>
  </si>
  <si>
    <t>Programas de Associacao e Fidelidade</t>
  </si>
  <si>
    <t>Premiações</t>
  </si>
  <si>
    <t>Projeto Fomento de São Carlos</t>
  </si>
  <si>
    <t>DESP. COMUNICAÇÃO</t>
  </si>
  <si>
    <t>Despesas de Clipping</t>
  </si>
  <si>
    <t>Material Promocional</t>
  </si>
  <si>
    <t>Ações de Imprensa</t>
  </si>
  <si>
    <t>Desenvolvimento e Manutenção de Sites</t>
  </si>
  <si>
    <t>DESP. TRIBUTÁRIAS</t>
  </si>
  <si>
    <t>IR Renda s/Aplicações</t>
  </si>
  <si>
    <t>Outros Tributos Federais</t>
  </si>
  <si>
    <t>DESP. FINANCEIRAS</t>
  </si>
  <si>
    <t>Desp. Bancárias</t>
  </si>
  <si>
    <t>Multas e Mora Fiscal</t>
  </si>
  <si>
    <t xml:space="preserve">Desp. c/ variação Cambial </t>
  </si>
  <si>
    <t>Desp. c/Correção Monetária</t>
  </si>
  <si>
    <t>Custo c/ Baixa Imobilizado</t>
  </si>
  <si>
    <t>TOTAL GERAL DESPESAS</t>
  </si>
  <si>
    <t>PROVISÃO PIVA</t>
  </si>
  <si>
    <t>RECEITA COB</t>
  </si>
  <si>
    <t>DESPESA COB</t>
  </si>
  <si>
    <t>ATIVOS FIXOS ADQUIRIDOS</t>
  </si>
  <si>
    <t>SALDO</t>
  </si>
  <si>
    <t>(-) PROVISÃO DO MÊS ANTERIOR</t>
  </si>
  <si>
    <t>PROVISÃO ATUAL</t>
  </si>
  <si>
    <t>PROVISÃO CPB</t>
  </si>
  <si>
    <t>RECEITA CPB</t>
  </si>
  <si>
    <t>DESPESA CPB</t>
  </si>
  <si>
    <t>PROVISÃO SICONV</t>
  </si>
  <si>
    <t>RECEITA SICONV</t>
  </si>
  <si>
    <t>DESPESA SICONV</t>
  </si>
  <si>
    <t>PROVISÃO SOI (BB 14936-5)</t>
  </si>
  <si>
    <t>RECEITA SOI</t>
  </si>
  <si>
    <t>DESPESA SOI</t>
  </si>
  <si>
    <t>PROVISÃO AGITOS (BB 12733-7)</t>
  </si>
  <si>
    <t>RECEITA AGITOS</t>
  </si>
  <si>
    <t>DESPESA AGITOS</t>
  </si>
  <si>
    <t>(obs. 1-&gt; a despesa esta contabilizada na conta 333 Operacional Paralimpica)</t>
  </si>
  <si>
    <t>PROVISÃO FOMENTO SÃO CARLOS (CEF 1443-7)</t>
  </si>
  <si>
    <t>RECEITA FOMENTO</t>
  </si>
  <si>
    <t>DESPESA FOMENTO</t>
  </si>
  <si>
    <t>(obs. 1-&gt; a despesa esta contabilizada na conta 621 Operacional Fomento em São Carlos)</t>
  </si>
  <si>
    <t>PROVISÃO COB DOAÇÃO (CEF 863-1)</t>
  </si>
  <si>
    <t>RECEITA COB DOAÇÃO</t>
  </si>
  <si>
    <t>DESPESA COB DOAÇÃO</t>
  </si>
  <si>
    <t>PROVISÃO LEI DE INCENTIVO BB</t>
  </si>
  <si>
    <t>RECEITA LEI DE INCENTIVO</t>
  </si>
  <si>
    <t>DESPESA LIE</t>
  </si>
  <si>
    <t>COB - COMITE OLIMPICO BRASILEIRO</t>
  </si>
  <si>
    <t>CPB - COMITE PARALIMPICO BRASILEIRO</t>
  </si>
  <si>
    <t>D</t>
  </si>
  <si>
    <t>C</t>
  </si>
  <si>
    <t>COB DOAÇÃO</t>
  </si>
  <si>
    <t>COB LEI DE INCENTIVO</t>
  </si>
  <si>
    <t>CNPJ 67.148.288/0001-17</t>
  </si>
  <si>
    <t>Em Reais</t>
  </si>
  <si>
    <t xml:space="preserve">A T I V O </t>
  </si>
  <si>
    <t>PASSIVO E PATRIMÔNIO SOCIAL</t>
  </si>
  <si>
    <t xml:space="preserve">    Contas a Pagar</t>
  </si>
  <si>
    <t xml:space="preserve">    Obrigações Trabalhistas</t>
  </si>
  <si>
    <t xml:space="preserve">    Adiantamentos de Projetos* (Lei de incentivo)</t>
  </si>
  <si>
    <t xml:space="preserve">    Adiantamentos de Projetos* (L. Piva - CPB)</t>
  </si>
  <si>
    <t xml:space="preserve">    Adiantamentos de Projetos* (SOI)</t>
  </si>
  <si>
    <t xml:space="preserve">    Adiantamentos de Projetos* (Fomento São Carlos)</t>
  </si>
  <si>
    <t xml:space="preserve">    Adiantamentos de Projetos* (COB Doação)</t>
  </si>
  <si>
    <t>Total do Ativo Circulante</t>
  </si>
  <si>
    <t>Total do Passivo Circulante</t>
  </si>
  <si>
    <t>NÃO CIRCULANTE</t>
  </si>
  <si>
    <t>PATRIMÔNIO SOCIAL</t>
  </si>
  <si>
    <t xml:space="preserve">    Imobilizado</t>
  </si>
  <si>
    <t xml:space="preserve">   Patrimonio Incorporado</t>
  </si>
  <si>
    <t xml:space="preserve">   Resultado do Exercicio</t>
  </si>
  <si>
    <t>Total do Ativo Não Circulante</t>
  </si>
  <si>
    <t>Total do Patrimônio Social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</si>
  <si>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</si>
  <si>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</si>
  <si>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</si>
  <si>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</si>
  <si>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</si>
  <si>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</si>
  <si>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</si>
  <si>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</si>
  <si>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</si>
  <si>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</si>
  <si>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</si>
  <si>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</si>
  <si>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Receitas De Anuidades de Filiação</t>
  </si>
  <si>
    <t xml:space="preserve">    Receita Subvenção Agitos</t>
  </si>
  <si>
    <t xml:space="preserve">    Receita com Inscrições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</si>
  <si>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</si>
  <si>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</si>
  <si>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</si>
  <si>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</si>
  <si>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</si>
  <si>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</si>
  <si>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</si>
  <si>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</si>
  <si>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   Programa COB Doação</t>
  </si>
  <si>
    <t xml:space="preserve">    Administrativas</t>
  </si>
  <si>
    <t xml:space="preserve">    Comunicação</t>
  </si>
  <si>
    <t xml:space="preserve">    Tributárias</t>
  </si>
  <si>
    <t xml:space="preserve">    Financeiras e Variação Cambial</t>
  </si>
  <si>
    <t>Superávit de exercícios anteriores</t>
  </si>
  <si>
    <t xml:space="preserve">   Superávit de exercícios anteriores</t>
  </si>
  <si>
    <t>Patrimônio Incorporado</t>
  </si>
  <si>
    <t>Banco do Brasil conta 880001173 USD</t>
  </si>
  <si>
    <t xml:space="preserve">Organizadores de Campeonatos </t>
  </si>
  <si>
    <t>Receita c/ Patrocínio</t>
  </si>
  <si>
    <t xml:space="preserve">    Receita com Patrocínio</t>
  </si>
  <si>
    <t>Aplicação FIX Conta 1360-0 CEF</t>
  </si>
  <si>
    <t>Aplicação FIX Conta 1516-6 CEF</t>
  </si>
  <si>
    <t>Uniformes</t>
  </si>
  <si>
    <t>Devolução Rendimento Projeto Lei Piva</t>
  </si>
  <si>
    <t xml:space="preserve">Receita </t>
  </si>
  <si>
    <t>Despesa</t>
  </si>
  <si>
    <t>Aplicação FIX GIRO Conta 1415-1 CEF</t>
  </si>
  <si>
    <t>Aplicação FIX GIRO Conta 1443-7 CEF</t>
  </si>
  <si>
    <t>Aplicação FIX GIRO Conta 1511-5 CEF</t>
  </si>
  <si>
    <t>Aplicação FIX GIRO Conta 1518-2 CEF</t>
  </si>
  <si>
    <t>Aplicação FIX Conta 19566-9 BB</t>
  </si>
  <si>
    <t>Aplicação FIX Conta 19567-7 BB</t>
  </si>
  <si>
    <t>Aplicação FIX Conta 19568-5 BB</t>
  </si>
  <si>
    <t>Telefone</t>
  </si>
  <si>
    <t>Despesas com exames/testes COVID</t>
  </si>
  <si>
    <t>Serviços Técnicos Esportivos</t>
  </si>
  <si>
    <t>Aplicação Renda Fixa Conta 1692-8 CEF</t>
  </si>
  <si>
    <t>Receita c/ Reemb. Despesas</t>
  </si>
  <si>
    <t>Produção de Conteúdo</t>
  </si>
  <si>
    <t>Produções Cinematográficas</t>
  </si>
  <si>
    <t>Vídeo e Fotografia</t>
  </si>
  <si>
    <t xml:space="preserve">            685</t>
  </si>
  <si>
    <t>Caixa Economica Federal Ag 3097 C 1742-8</t>
  </si>
  <si>
    <t xml:space="preserve">            686</t>
  </si>
  <si>
    <t>Caixa Economica Federal Ag 3097 C 1743-6</t>
  </si>
  <si>
    <t xml:space="preserve">            687</t>
  </si>
  <si>
    <t>Aplicação FIX GIRO Conta 1607-3 CEF</t>
  </si>
  <si>
    <t>IR a Compensar</t>
  </si>
  <si>
    <t>Adiantamento Leandro Ribela</t>
  </si>
  <si>
    <t>Prêmio em espécie</t>
  </si>
  <si>
    <t>Adiantamento a Fornecedores</t>
  </si>
  <si>
    <t>Aplicação Renda Fixa Conta 1360-0 CEF</t>
  </si>
  <si>
    <t>Aplicação Renda Fixa Conta 1395-3 CEF</t>
  </si>
  <si>
    <t>Aplicação Renda Fixa Conta 1439-9 CEF</t>
  </si>
  <si>
    <t>Aplicação Renda Fixa Conta 1440-2 CEF</t>
  </si>
  <si>
    <t>Aplicação Renda Fixa Conta 1515-8 CEF</t>
  </si>
  <si>
    <t xml:space="preserve">            692</t>
  </si>
  <si>
    <t xml:space="preserve">            693</t>
  </si>
  <si>
    <t xml:space="preserve">            694</t>
  </si>
  <si>
    <t xml:space="preserve">            695</t>
  </si>
  <si>
    <t xml:space="preserve">            696</t>
  </si>
  <si>
    <t>Adiantamento de Terceiros</t>
  </si>
  <si>
    <t>Receita c/ Variação Monetária</t>
  </si>
  <si>
    <t>Trabalho Voluntário</t>
  </si>
  <si>
    <t xml:space="preserve">    Receitas Trabalho Voluntário</t>
  </si>
  <si>
    <t>INSS a Recuperar</t>
  </si>
  <si>
    <t xml:space="preserve">    INSS a Recuperar</t>
  </si>
  <si>
    <t>Participação em Cursos</t>
  </si>
  <si>
    <t>A T I V O NÃO CIRCULANTE</t>
  </si>
  <si>
    <t>Promoções e eventos</t>
  </si>
  <si>
    <t>Desp. c/ Brindes</t>
  </si>
  <si>
    <t>Despesas Armazenagem</t>
  </si>
  <si>
    <t xml:space="preserve">            700</t>
  </si>
  <si>
    <t>Aplicação Renda Fixa Conta 1607-3 CEF</t>
  </si>
  <si>
    <t>Despesa c/ Transporte</t>
  </si>
  <si>
    <t>Seguro de Veículos</t>
  </si>
  <si>
    <t>Seguro de Responsabilidade Civil</t>
  </si>
  <si>
    <t>Seguros a Pagar</t>
  </si>
  <si>
    <t>Aplicação FIX Conta 1395-3 CEF</t>
  </si>
  <si>
    <t xml:space="preserve">    Adiantamentos de Projetos* (L. Piva - COB)</t>
  </si>
  <si>
    <t>DESPESAS DO TRABALHO VOLUNTÁRIO</t>
  </si>
  <si>
    <t>Despesas do Trabalho Voluntário</t>
  </si>
  <si>
    <t>DESP. GERAIS</t>
  </si>
  <si>
    <t>Adiantamento a Projeto (Lei Piva - COB)</t>
  </si>
  <si>
    <t>Adiantamento a Projeto (Lei Piva - CPB)</t>
  </si>
  <si>
    <t>Adiantamento a Projeto (COB DOAÇÃO)</t>
  </si>
  <si>
    <t>Adiantamento a Projeto (SOI)</t>
  </si>
  <si>
    <t>Adiantamento a Proj (FOMENTO SÃO CARLOS)</t>
  </si>
  <si>
    <t>Adiantamento a Projeto (AGITOS)</t>
  </si>
  <si>
    <t>Adiantamento de Projeto (Lei Piva - COB)</t>
  </si>
  <si>
    <t>Adiantamento de Projeto (Lei Piva - CPB)</t>
  </si>
  <si>
    <t>Adiantamento de Projeto (COB DOAÇÃO)</t>
  </si>
  <si>
    <t>Adiantamento de Projeto (SOI)</t>
  </si>
  <si>
    <t>Adiantamento de Projeto (AGITOS)</t>
  </si>
  <si>
    <t>Adiantamento de Proj (FOMENTO S. CARLOS)</t>
  </si>
  <si>
    <t>Adiantamento de Proj (LEI DE INCENTIVO)</t>
  </si>
  <si>
    <t>Adiantamento de Proj (SICONV III E IV)</t>
  </si>
  <si>
    <t>OUTRAS DESPESAS</t>
  </si>
  <si>
    <t>(Adt. total de Projeto COB)</t>
  </si>
  <si>
    <t>(Adt. total de Projeto CPB)</t>
  </si>
  <si>
    <t>Outras Despesas</t>
  </si>
  <si>
    <t>(Receita realizada)</t>
  </si>
  <si>
    <t>Desp. Gerais</t>
  </si>
  <si>
    <t xml:space="preserve">Receitas do Trabalho Voluntário </t>
  </si>
  <si>
    <t>(Adt. total de Projeto SOI)</t>
  </si>
  <si>
    <t>Importações em Andamento</t>
  </si>
  <si>
    <t>Pagamentos Indevidos/a Maior</t>
  </si>
  <si>
    <t>SOI - SOLIDARIEDADE OLIMPICA</t>
  </si>
  <si>
    <t xml:space="preserve">            708</t>
  </si>
  <si>
    <t>Aplicação Renda Fixa Conta 1443-7 CEF</t>
  </si>
  <si>
    <t xml:space="preserve">            709</t>
  </si>
  <si>
    <t>Aplicação Renda Fixa Conta 1511-5 CEF</t>
  </si>
  <si>
    <t xml:space="preserve">            710</t>
  </si>
  <si>
    <t>Aplicação Renda Fixa Conta 1606-5 CEF</t>
  </si>
  <si>
    <t xml:space="preserve">            711</t>
  </si>
  <si>
    <t>Aplicação Renda Fixa Conta 1415-1 CEF</t>
  </si>
  <si>
    <t xml:space="preserve">            485</t>
  </si>
  <si>
    <t>Proteção Marcas e Patentes</t>
  </si>
  <si>
    <t xml:space="preserve">            712</t>
  </si>
  <si>
    <t>Aplicação Renda Fixa Conta 1414-3 CEF</t>
  </si>
  <si>
    <t xml:space="preserve">            713</t>
  </si>
  <si>
    <t>Aplicação Renda Fixa Conta 1416-0 CEF</t>
  </si>
  <si>
    <t xml:space="preserve">            714</t>
  </si>
  <si>
    <t>Aplicação Renda Fixa Conta 1518-2 CEF</t>
  </si>
  <si>
    <t>Consumo de Água</t>
  </si>
  <si>
    <t>Aplicação Rende Fácil Conta 8004-7 BB</t>
  </si>
  <si>
    <t xml:space="preserve"> Despesas Trabalho Voluntário</t>
  </si>
  <si>
    <t>CEF Ag 3097 P1388000739160122-6 (7002-4)</t>
  </si>
  <si>
    <t>CEF Ag 3097 P1388000739112248-4 (8024-0)</t>
  </si>
  <si>
    <t>CEF Ag 3097 P1388000739031552-1 (8544-7)</t>
  </si>
  <si>
    <t>CEF Ag 3097 P1388000739112249-2 (8826-8)</t>
  </si>
  <si>
    <t>CEF Ag 3097 P1388000739112251-4 (8827-6)</t>
  </si>
  <si>
    <t>CEF Ag 3097 P1388000739112252-2 (9425-0)</t>
  </si>
  <si>
    <t>CEF Ag 3097 P1388000738958801-3 (9790-9)</t>
  </si>
  <si>
    <t>CEF Ag 3097 P1388000738943176-9 (9791-7)</t>
  </si>
  <si>
    <t xml:space="preserve">            720</t>
  </si>
  <si>
    <t>Aplicação Renda Fixa Conta 1255-8 CEF</t>
  </si>
  <si>
    <t xml:space="preserve">            721</t>
  </si>
  <si>
    <t>Aplicação Renda Fixa Conta 1516-6 CEF</t>
  </si>
  <si>
    <t>Aplicação Fundo SLI Conta 21027-7 BB</t>
  </si>
  <si>
    <t>Acesso aos Meios</t>
  </si>
  <si>
    <t>Receita com Campeonato Brasileiro</t>
  </si>
  <si>
    <t>Assessoria de imprensa, marketing e clipping</t>
  </si>
  <si>
    <t>Publicidade, criação e vídeo</t>
  </si>
  <si>
    <t xml:space="preserve"> Outras Despesas</t>
  </si>
  <si>
    <t>INSS e IRRF Unificado à Recolher</t>
  </si>
  <si>
    <t>Viagens</t>
  </si>
  <si>
    <t>Locações Esportivas</t>
  </si>
  <si>
    <t>(Adt. total de Projeto COB doação )</t>
  </si>
  <si>
    <t xml:space="preserve">            732</t>
  </si>
  <si>
    <t>Aplicação CDB Flex Empresarial CC 1414-3</t>
  </si>
  <si>
    <t xml:space="preserve">            733</t>
  </si>
  <si>
    <t>Aplicação CDB Flex Empresarial CC 1606-5</t>
  </si>
  <si>
    <t xml:space="preserve">            734</t>
  </si>
  <si>
    <t>Seguro Contra Incêndio</t>
  </si>
  <si>
    <t>Taxas e Licenças Diversas</t>
  </si>
  <si>
    <t>Assessoria de Comunicação (atletas)</t>
  </si>
  <si>
    <t>Aplicação Fundo SLI Conta 21026-9 BB</t>
  </si>
  <si>
    <t xml:space="preserve">            738</t>
  </si>
  <si>
    <t>Aplicação CDB Flex Empresarial CC 1415-1</t>
  </si>
  <si>
    <t xml:space="preserve">            739</t>
  </si>
  <si>
    <t>Aplicação CDB Flex Empresarial CC 1440-2</t>
  </si>
  <si>
    <t>Evento COB Expo</t>
  </si>
  <si>
    <t>PROVISÃO MÊS  NOV/2023</t>
  </si>
  <si>
    <t xml:space="preserve">            746</t>
  </si>
  <si>
    <t>Caixa Economica Federal Ag 3097 C 1891-2</t>
  </si>
  <si>
    <t xml:space="preserve">            750</t>
  </si>
  <si>
    <t>Caixa Economica Federal Ag 3097 C 1897-1</t>
  </si>
  <si>
    <t xml:space="preserve">            751</t>
  </si>
  <si>
    <t>Caixa Economica Federal Ag 3097 C 1898-0</t>
  </si>
  <si>
    <t xml:space="preserve">            742</t>
  </si>
  <si>
    <t>CEF Ag 3097 P 1388 000763277356-9</t>
  </si>
  <si>
    <t xml:space="preserve">            743</t>
  </si>
  <si>
    <t>CEF Ag 3097 P 1388 000763277179-5</t>
  </si>
  <si>
    <t xml:space="preserve">            744</t>
  </si>
  <si>
    <t>CEF Ag 3097 P 1388 000763277271-6</t>
  </si>
  <si>
    <t xml:space="preserve">            745</t>
  </si>
  <si>
    <t>CEF Ag 3097 P 1388 000763277513-8</t>
  </si>
  <si>
    <t xml:space="preserve">            752</t>
  </si>
  <si>
    <t>Aplicação Renda Fixa Conta 1519-0 CEF</t>
  </si>
  <si>
    <t xml:space="preserve">            753</t>
  </si>
  <si>
    <t>Aplicação Renda Fixa Conta 1513-1 CEF</t>
  </si>
  <si>
    <t xml:space="preserve">            754</t>
  </si>
  <si>
    <t>Aplicação Renda Fixa Conta 8004-7 BB</t>
  </si>
  <si>
    <t xml:space="preserve">    Receita Programa COB Doação</t>
  </si>
  <si>
    <t>Receita Programa COB Doação</t>
  </si>
  <si>
    <t xml:space="preserve">            755</t>
  </si>
  <si>
    <t>Aplicação Renda Fixa Conta 1605-7 CEF</t>
  </si>
  <si>
    <t xml:space="preserve">            756</t>
  </si>
  <si>
    <t>Aplicação Renda Fixa Conta 1893-9 CEF</t>
  </si>
  <si>
    <t xml:space="preserve">            759</t>
  </si>
  <si>
    <t>Seguro de Vida</t>
  </si>
  <si>
    <t xml:space="preserve">            760</t>
  </si>
  <si>
    <t>IPVA</t>
  </si>
  <si>
    <t>IMPOSTOS E CONTRIBUIÇÕES A RECUPERAR</t>
  </si>
  <si>
    <t>TOTAL IMPOSTOS E CONTRIBUIÇÕES A RECUPERAR</t>
  </si>
  <si>
    <t>TOTAL NÃO CIRCULANTE</t>
  </si>
  <si>
    <t>INSS, IRRF e PIS Unificado à Recolher</t>
  </si>
  <si>
    <t>Cont.Sindical a Recolher</t>
  </si>
  <si>
    <t>Desenvolvimento das Categorias de Base</t>
  </si>
  <si>
    <t>Aplicação Renda Fixa Conta 1894-7 CEF</t>
  </si>
  <si>
    <t>Aplicação Renda Fixa Conta 1896-3 CEF</t>
  </si>
  <si>
    <t>PIS a Recuperar</t>
  </si>
  <si>
    <t xml:space="preserve">    PIS a Recuperar</t>
  </si>
  <si>
    <t>Saldo</t>
  </si>
  <si>
    <t>Caixa Economica Federal Ag 3097 C 1896-3</t>
  </si>
  <si>
    <t>Outras Taxas</t>
  </si>
  <si>
    <t xml:space="preserve">    Fornecedores a Pagar</t>
  </si>
  <si>
    <t>Fornecedores</t>
  </si>
  <si>
    <t>Serviços Terceiros PF</t>
  </si>
  <si>
    <t>Descontos Financeiros Obtidos</t>
  </si>
  <si>
    <t xml:space="preserve">    Receita da Lei de Incentivo (LIE)</t>
  </si>
  <si>
    <t>Equipamentos Esportivos (Lei de Incentivo)</t>
  </si>
  <si>
    <t>(Adt. total de Projeto LIE)</t>
  </si>
  <si>
    <t xml:space="preserve">            765</t>
  </si>
  <si>
    <t>Aplicação Renda Fixa Conta 1420-8 CEF</t>
  </si>
  <si>
    <t>Treinadores PJ</t>
  </si>
  <si>
    <t>Despesas com  Coquetel</t>
  </si>
  <si>
    <t xml:space="preserve">            767</t>
  </si>
  <si>
    <t>Assinaturas Diversas</t>
  </si>
  <si>
    <t>Auxilio Creche</t>
  </si>
  <si>
    <t>Despesas Legais e Judiciais</t>
  </si>
  <si>
    <t>Gerais</t>
  </si>
  <si>
    <t>Despesas c/ Equipamentos e Materiais Téc</t>
  </si>
  <si>
    <t>Expo Brasil Paralímpico</t>
  </si>
  <si>
    <t>Reembolso de Despesa</t>
  </si>
  <si>
    <t>Receita Expo Brasil Paralímpico</t>
  </si>
  <si>
    <t xml:space="preserve">    Receita Expo Brasil Paralímpico</t>
  </si>
  <si>
    <t>Moveis e Utensilios</t>
  </si>
  <si>
    <t>RECEITAS</t>
  </si>
  <si>
    <t>R - Lei Piva Comitê Olímpico do Brasil</t>
  </si>
  <si>
    <t>R - Lei Piva Comitê Paralímpico Brasileiro</t>
  </si>
  <si>
    <t>R - Convenio/Termo de fomento</t>
  </si>
  <si>
    <t>R - Lei de Incentivo Paulista</t>
  </si>
  <si>
    <t>R - Lei de Incentivo Federal</t>
  </si>
  <si>
    <t>R - Snow Club</t>
  </si>
  <si>
    <t>R - Inscrições</t>
  </si>
  <si>
    <t>R - Patrocínios</t>
  </si>
  <si>
    <t>R - Proj. Pesquisa e Informação</t>
  </si>
  <si>
    <t>R - Doações</t>
  </si>
  <si>
    <t>R - Direitos de televisionamento</t>
  </si>
  <si>
    <t>R - Outras Receitas</t>
  </si>
  <si>
    <t>R - FIS</t>
  </si>
  <si>
    <t>R - IBU</t>
  </si>
  <si>
    <t>R - AGITOS</t>
  </si>
  <si>
    <t>R - SOI</t>
  </si>
  <si>
    <t>R - SOI (deferred revenue)</t>
  </si>
  <si>
    <t>R - AGITOS (deferred revenue)</t>
  </si>
  <si>
    <t>TOTAL RECEITAS OPERACIONAIS</t>
  </si>
  <si>
    <t>CD - Lei Piva Comitê Olímpico do Brasil</t>
  </si>
  <si>
    <t>CD - Lei Piva Comitê Paralímpico Brasileiro</t>
  </si>
  <si>
    <t>CD - Convênio 760724/2011</t>
  </si>
  <si>
    <t>CD - Convênio 776457/2012</t>
  </si>
  <si>
    <t>CD - Convênio 812775/2014</t>
  </si>
  <si>
    <t>CD - Convênios/Termo de Fomento</t>
  </si>
  <si>
    <t>CD - Lei de Incentivo Paulista</t>
  </si>
  <si>
    <t>CD - Lei de Incentivo Federal</t>
  </si>
  <si>
    <t>CD - IBU Development</t>
  </si>
  <si>
    <t>CD - Snow Club</t>
  </si>
  <si>
    <t>CD - Agencia Atletas</t>
  </si>
  <si>
    <t>CD - Proj. Pesquisa &amp; Informação</t>
  </si>
  <si>
    <t>CD - Direitos de Televisionamento</t>
  </si>
  <si>
    <t>CD - Paralímpico</t>
  </si>
  <si>
    <t>CD - Técnico Esportivo</t>
  </si>
  <si>
    <t>CD - AGITOS</t>
  </si>
  <si>
    <t>CD - SOI</t>
  </si>
  <si>
    <t>Sub-total Custos Diretos</t>
  </si>
  <si>
    <t>CI - Equipamentos Esportivos</t>
  </si>
  <si>
    <t>CI - Outros Custos</t>
  </si>
  <si>
    <t>CI - Pessoal</t>
  </si>
  <si>
    <t>Sub-total Custos Indiretos</t>
  </si>
  <si>
    <t>CUSTOS TOTAL</t>
  </si>
  <si>
    <t>SGA - Despesas Administrativas</t>
  </si>
  <si>
    <t>SGA - Comunicação &amp; Marketing</t>
  </si>
  <si>
    <t>SGA - Pessoal Administrativo</t>
  </si>
  <si>
    <t>DESPESA TOTAL</t>
  </si>
  <si>
    <t>CUSTOS E DESPESAS OPERACIONAIS</t>
  </si>
  <si>
    <t>RESULTADO OPERACIONAL</t>
  </si>
  <si>
    <t>RV - Trabalho Voluntario</t>
  </si>
  <si>
    <t>RESULTADO Após trabalho voluntario</t>
  </si>
  <si>
    <t>RF - Financeira de terceiros</t>
  </si>
  <si>
    <t>RF - Financeira próprias</t>
  </si>
  <si>
    <t>RF - Variação Cambial</t>
  </si>
  <si>
    <t>DF - Financeiras</t>
  </si>
  <si>
    <t>DF - Variação Cambial</t>
  </si>
  <si>
    <t>RESULTADO FINANCEIRO LÍQUIDO</t>
  </si>
  <si>
    <t>RF - Extraordinárias</t>
  </si>
  <si>
    <t>RESULTADO Antes de impostos, depreciação e amortização</t>
  </si>
  <si>
    <t>DT - Tributárias</t>
  </si>
  <si>
    <t>RESULTADO Após despesas tributárias</t>
  </si>
  <si>
    <t>RI - Imobilizados</t>
  </si>
  <si>
    <t>DI - Imobilizados</t>
  </si>
  <si>
    <t>DI - Investimentos</t>
  </si>
  <si>
    <t>DA - Depreciação &amp; Amortização</t>
  </si>
  <si>
    <t>RESULTADO DO EXERCÍCIO</t>
  </si>
  <si>
    <t>Check</t>
  </si>
  <si>
    <t>TOTAL PROJETOS</t>
  </si>
  <si>
    <t>PROVISÃO MÊS ANTERIOR DEZ/2024</t>
  </si>
  <si>
    <t>PROVISÃO MÊS JAN/2025</t>
  </si>
  <si>
    <t>Taxas Estaduais</t>
  </si>
  <si>
    <t>PROVISÃO MÊS FEV/2025</t>
  </si>
  <si>
    <t>PROVISÃO MÊS MAR/2025</t>
  </si>
  <si>
    <t>Balanço Patrimonial para o período encerrado em 31-03-2025</t>
  </si>
  <si>
    <t>Demonstração do Déficit para o período encerrado em 31-03-2025</t>
  </si>
  <si>
    <t>Demonstração do Resultado do Exercício para o período encerrado em 31-03-2025</t>
  </si>
  <si>
    <t xml:space="preserve">   Caixa e Equivalente de Caixa</t>
  </si>
  <si>
    <t xml:space="preserve">   Creditos F.I.S</t>
  </si>
  <si>
    <t xml:space="preserve">   Adiantamento a Pessoal</t>
  </si>
  <si>
    <t xml:space="preserve">   Adiantamento a Atletas/Treinadores</t>
  </si>
  <si>
    <t xml:space="preserve">   Adiantamento a Projeto (Lei Piva - CPB)</t>
  </si>
  <si>
    <t xml:space="preserve">   Adiantamento a Projeto (SOI)</t>
  </si>
  <si>
    <t xml:space="preserve">   Importações em Andamento</t>
  </si>
  <si>
    <t xml:space="preserve">   PIS a Recuperar</t>
  </si>
  <si>
    <t xml:space="preserve">   Despesas Antecipadas a Apropriar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</si>
</sst>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dd/mm/yy;@"/>
    <numFmt numFmtId="166" formatCode="dd/mm/yy"/>
    <numFmt numFmtId="167" formatCode="_(* #,##0.00_);_(* \(#,##0.00\);_(* \-??_);_(@_)"/>
    <numFmt numFmtId="168" formatCode="_(* #,##0_);_(* \(#,##0\);_(* &quot;-&quot;??_);_(@_)"/>
    <numFmt numFmtId="169" formatCode="_-* #,##0_-;\-* #,##0_-;_-* &quot;-&quot;??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4"/>
      <name val="Arial"/>
      <family val="2"/>
    </font>
    <font>
      <b/>
      <i/>
      <sz val="11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b/>
      <i/>
      <sz val="11"/>
      <color rgb="FFFF0000"/>
      <name val="Arial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9"/>
      <color rgb="FFFF0000"/>
      <name val="Arial"/>
      <family val="2"/>
    </font>
    <font>
      <sz val="12"/>
      <color rgb="FFFF0000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9"/>
      <color theme="0"/>
      <name val="Arial"/>
      <family val="2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8"/>
      <name val="Arial"/>
      <family val="2"/>
    </font>
    <font>
      <b/>
      <sz val="14"/>
      <color theme="0"/>
      <name val="Arial"/>
      <family val="2"/>
    </font>
    <font>
      <b/>
      <i/>
      <sz val="11"/>
      <color theme="0"/>
      <name val="Arial"/>
      <family val="2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u/>
      <sz val="10"/>
      <name val="Calibri"/>
      <family val="2"/>
      <scheme val="minor"/>
    </font>
    <font>
      <sz val="1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9" fontId="34" fillId="0" borderId="0" applyFont="0" applyFill="0" applyBorder="0" applyAlignment="0" applyProtection="0"/>
  </cellStyleXfs>
  <cellXfs count="392">
    <xf numFmtId="0" fontId="0" fillId="0" borderId="0" xfId="0"/>
    <xf numFmtId="0" fontId="1" fillId="3" borderId="1" xfId="0" applyFont="1" applyFill="1" applyBorder="1"/>
    <xf numFmtId="0" fontId="2" fillId="2" borderId="1" xfId="0" applyFont="1" applyFill="1" applyBorder="1"/>
    <xf numFmtId="167" fontId="2" fillId="2" borderId="3" xfId="0" applyNumberFormat="1" applyFont="1" applyFill="1" applyBorder="1" applyAlignment="1">
      <alignment horizontal="center"/>
    </xf>
    <xf numFmtId="0" fontId="5" fillId="0" borderId="0" xfId="0" applyFont="1"/>
    <xf numFmtId="0" fontId="1" fillId="0" borderId="0" xfId="0" applyFont="1"/>
    <xf numFmtId="0" fontId="4" fillId="0" borderId="6" xfId="0" applyFont="1" applyBorder="1"/>
    <xf numFmtId="0" fontId="1" fillId="2" borderId="1" xfId="0" applyFont="1" applyFill="1" applyBorder="1"/>
    <xf numFmtId="0" fontId="2" fillId="3" borderId="1" xfId="0" applyFont="1" applyFill="1" applyBorder="1"/>
    <xf numFmtId="0" fontId="1" fillId="3" borderId="4" xfId="0" applyFont="1" applyFill="1" applyBorder="1"/>
    <xf numFmtId="164" fontId="1" fillId="0" borderId="0" xfId="0" applyNumberFormat="1" applyFont="1"/>
    <xf numFmtId="164" fontId="2" fillId="3" borderId="3" xfId="1" applyFont="1" applyFill="1" applyBorder="1" applyAlignment="1">
      <alignment horizontal="left"/>
    </xf>
    <xf numFmtId="43" fontId="1" fillId="0" borderId="0" xfId="0" applyNumberFormat="1" applyFont="1"/>
    <xf numFmtId="0" fontId="2" fillId="0" borderId="0" xfId="0" applyFont="1"/>
    <xf numFmtId="0" fontId="4" fillId="0" borderId="9" xfId="0" applyFont="1" applyBorder="1"/>
    <xf numFmtId="0" fontId="4" fillId="0" borderId="10" xfId="0" applyFont="1" applyBorder="1"/>
    <xf numFmtId="164" fontId="2" fillId="3" borderId="13" xfId="1" applyFont="1" applyFill="1" applyBorder="1"/>
    <xf numFmtId="0" fontId="2" fillId="2" borderId="4" xfId="0" applyFont="1" applyFill="1" applyBorder="1"/>
    <xf numFmtId="164" fontId="2" fillId="2" borderId="3" xfId="0" applyNumberFormat="1" applyFont="1" applyFill="1" applyBorder="1"/>
    <xf numFmtId="0" fontId="3" fillId="0" borderId="10" xfId="0" applyFont="1" applyBorder="1"/>
    <xf numFmtId="164" fontId="2" fillId="2" borderId="3" xfId="1" applyFont="1" applyFill="1" applyBorder="1" applyAlignment="1">
      <alignment horizontal="left"/>
    </xf>
    <xf numFmtId="4" fontId="1" fillId="0" borderId="0" xfId="0" applyNumberFormat="1" applyFont="1"/>
    <xf numFmtId="165" fontId="2" fillId="2" borderId="11" xfId="0" applyNumberFormat="1" applyFont="1" applyFill="1" applyBorder="1" applyAlignment="1">
      <alignment horizontal="center"/>
    </xf>
    <xf numFmtId="164" fontId="2" fillId="2" borderId="3" xfId="1" applyFont="1" applyFill="1" applyBorder="1" applyAlignment="1">
      <alignment horizontal="center"/>
    </xf>
    <xf numFmtId="167" fontId="3" fillId="0" borderId="0" xfId="0" applyNumberFormat="1" applyFont="1" applyAlignment="1">
      <alignment horizontal="center"/>
    </xf>
    <xf numFmtId="167" fontId="1" fillId="0" borderId="0" xfId="0" applyNumberFormat="1" applyFont="1"/>
    <xf numFmtId="0" fontId="2" fillId="0" borderId="6" xfId="0" applyFont="1" applyBorder="1"/>
    <xf numFmtId="0" fontId="3" fillId="0" borderId="0" xfId="0" applyFont="1"/>
    <xf numFmtId="0" fontId="4" fillId="0" borderId="6" xfId="0" applyFont="1" applyBorder="1" applyAlignment="1">
      <alignment horizontal="right"/>
    </xf>
    <xf numFmtId="164" fontId="3" fillId="0" borderId="8" xfId="1" applyFont="1" applyFill="1" applyBorder="1" applyAlignment="1">
      <alignment horizontal="center"/>
    </xf>
    <xf numFmtId="164" fontId="3" fillId="0" borderId="7" xfId="1" applyFont="1" applyFill="1" applyBorder="1" applyAlignment="1">
      <alignment horizontal="center"/>
    </xf>
    <xf numFmtId="0" fontId="3" fillId="0" borderId="6" xfId="0" applyFont="1" applyBorder="1"/>
    <xf numFmtId="14" fontId="2" fillId="2" borderId="16" xfId="0" applyNumberFormat="1" applyFont="1" applyFill="1" applyBorder="1" applyAlignment="1">
      <alignment horizontal="center"/>
    </xf>
    <xf numFmtId="164" fontId="3" fillId="0" borderId="17" xfId="1" applyFont="1" applyFill="1" applyBorder="1" applyAlignment="1">
      <alignment horizontal="center"/>
    </xf>
    <xf numFmtId="164" fontId="3" fillId="0" borderId="18" xfId="1" applyFont="1" applyFill="1" applyBorder="1" applyAlignment="1">
      <alignment horizontal="center"/>
    </xf>
    <xf numFmtId="167" fontId="2" fillId="2" borderId="16" xfId="0" applyNumberFormat="1" applyFont="1" applyFill="1" applyBorder="1" applyAlignment="1">
      <alignment horizontal="center"/>
    </xf>
    <xf numFmtId="164" fontId="2" fillId="2" borderId="16" xfId="1" applyFont="1" applyFill="1" applyBorder="1" applyAlignment="1">
      <alignment horizontal="center"/>
    </xf>
    <xf numFmtId="164" fontId="2" fillId="2" borderId="16" xfId="0" applyNumberFormat="1" applyFont="1" applyFill="1" applyBorder="1"/>
    <xf numFmtId="164" fontId="4" fillId="2" borderId="16" xfId="1" applyFont="1" applyFill="1" applyBorder="1" applyAlignment="1">
      <alignment horizontal="center"/>
    </xf>
    <xf numFmtId="164" fontId="2" fillId="3" borderId="16" xfId="1" applyFont="1" applyFill="1" applyBorder="1"/>
    <xf numFmtId="164" fontId="2" fillId="2" borderId="16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1" fillId="2" borderId="2" xfId="0" applyFont="1" applyFill="1" applyBorder="1"/>
    <xf numFmtId="0" fontId="7" fillId="0" borderId="0" xfId="0" applyFont="1"/>
    <xf numFmtId="0" fontId="8" fillId="0" borderId="0" xfId="0" applyFont="1"/>
    <xf numFmtId="43" fontId="0" fillId="0" borderId="0" xfId="0" applyNumberFormat="1"/>
    <xf numFmtId="0" fontId="0" fillId="0" borderId="21" xfId="0" applyBorder="1"/>
    <xf numFmtId="0" fontId="0" fillId="0" borderId="22" xfId="0" applyBorder="1"/>
    <xf numFmtId="14" fontId="2" fillId="3" borderId="3" xfId="0" applyNumberFormat="1" applyFont="1" applyFill="1" applyBorder="1" applyAlignment="1">
      <alignment horizontal="center"/>
    </xf>
    <xf numFmtId="164" fontId="3" fillId="0" borderId="14" xfId="1" applyFont="1" applyFill="1" applyBorder="1" applyAlignment="1">
      <alignment horizontal="center"/>
    </xf>
    <xf numFmtId="164" fontId="3" fillId="0" borderId="6" xfId="1" applyFont="1" applyFill="1" applyBorder="1" applyAlignment="1">
      <alignment horizontal="center"/>
    </xf>
    <xf numFmtId="164" fontId="3" fillId="0" borderId="10" xfId="1" applyFont="1" applyFill="1" applyBorder="1" applyAlignment="1">
      <alignment horizontal="center"/>
    </xf>
    <xf numFmtId="0" fontId="4" fillId="4" borderId="6" xfId="0" applyFont="1" applyFill="1" applyBorder="1"/>
    <xf numFmtId="164" fontId="3" fillId="4" borderId="6" xfId="1" applyFont="1" applyFill="1" applyBorder="1" applyAlignment="1">
      <alignment horizontal="center"/>
    </xf>
    <xf numFmtId="164" fontId="3" fillId="4" borderId="17" xfId="1" applyFont="1" applyFill="1" applyBorder="1" applyAlignment="1">
      <alignment horizontal="center"/>
    </xf>
    <xf numFmtId="0" fontId="11" fillId="0" borderId="0" xfId="0" applyFont="1"/>
    <xf numFmtId="164" fontId="11" fillId="0" borderId="0" xfId="1" applyFont="1"/>
    <xf numFmtId="0" fontId="11" fillId="0" borderId="24" xfId="0" applyFont="1" applyBorder="1"/>
    <xf numFmtId="0" fontId="10" fillId="5" borderId="24" xfId="0" applyFont="1" applyFill="1" applyBorder="1"/>
    <xf numFmtId="0" fontId="10" fillId="6" borderId="24" xfId="0" applyFont="1" applyFill="1" applyBorder="1"/>
    <xf numFmtId="43" fontId="11" fillId="0" borderId="0" xfId="0" applyNumberFormat="1" applyFont="1"/>
    <xf numFmtId="164" fontId="10" fillId="0" borderId="0" xfId="1" applyFont="1"/>
    <xf numFmtId="43" fontId="3" fillId="0" borderId="0" xfId="0" applyNumberFormat="1" applyFont="1"/>
    <xf numFmtId="0" fontId="1" fillId="2" borderId="3" xfId="0" applyFont="1" applyFill="1" applyBorder="1"/>
    <xf numFmtId="0" fontId="1" fillId="0" borderId="6" xfId="0" applyFont="1" applyBorder="1"/>
    <xf numFmtId="0" fontId="1" fillId="0" borderId="25" xfId="0" applyFont="1" applyBorder="1"/>
    <xf numFmtId="164" fontId="3" fillId="0" borderId="26" xfId="1" applyFont="1" applyFill="1" applyBorder="1"/>
    <xf numFmtId="164" fontId="3" fillId="0" borderId="27" xfId="1" applyFont="1" applyFill="1" applyBorder="1"/>
    <xf numFmtId="0" fontId="2" fillId="0" borderId="25" xfId="0" applyFont="1" applyBorder="1"/>
    <xf numFmtId="167" fontId="3" fillId="0" borderId="25" xfId="0" applyNumberFormat="1" applyFont="1" applyBorder="1" applyAlignment="1">
      <alignment horizontal="center"/>
    </xf>
    <xf numFmtId="164" fontId="3" fillId="0" borderId="25" xfId="1" applyFont="1" applyFill="1" applyBorder="1" applyAlignment="1">
      <alignment horizontal="center"/>
    </xf>
    <xf numFmtId="167" fontId="3" fillId="0" borderId="28" xfId="0" applyNumberFormat="1" applyFont="1" applyBorder="1" applyAlignment="1">
      <alignment horizontal="center"/>
    </xf>
    <xf numFmtId="43" fontId="3" fillId="0" borderId="25" xfId="0" applyNumberFormat="1" applyFont="1" applyBorder="1"/>
    <xf numFmtId="0" fontId="3" fillId="0" borderId="25" xfId="0" applyFont="1" applyBorder="1"/>
    <xf numFmtId="0" fontId="9" fillId="0" borderId="0" xfId="0" applyFont="1"/>
    <xf numFmtId="164" fontId="0" fillId="0" borderId="0" xfId="1" applyFont="1" applyFill="1"/>
    <xf numFmtId="164" fontId="2" fillId="0" borderId="19" xfId="1" applyFont="1" applyFill="1" applyBorder="1"/>
    <xf numFmtId="0" fontId="6" fillId="0" borderId="0" xfId="0" applyFont="1"/>
    <xf numFmtId="0" fontId="0" fillId="0" borderId="0" xfId="0" applyAlignment="1">
      <alignment wrapText="1"/>
    </xf>
    <xf numFmtId="167" fontId="3" fillId="0" borderId="29" xfId="0" applyNumberFormat="1" applyFont="1" applyBorder="1" applyAlignment="1">
      <alignment horizontal="center"/>
    </xf>
    <xf numFmtId="164" fontId="2" fillId="2" borderId="3" xfId="1" applyFont="1" applyFill="1" applyBorder="1"/>
    <xf numFmtId="164" fontId="11" fillId="0" borderId="24" xfId="1" applyFont="1" applyBorder="1"/>
    <xf numFmtId="17" fontId="10" fillId="5" borderId="24" xfId="0" applyNumberFormat="1" applyFont="1" applyFill="1" applyBorder="1" applyAlignment="1">
      <alignment horizontal="center"/>
    </xf>
    <xf numFmtId="164" fontId="10" fillId="5" borderId="24" xfId="1" applyFont="1" applyFill="1" applyBorder="1"/>
    <xf numFmtId="17" fontId="10" fillId="6" borderId="24" xfId="0" applyNumberFormat="1" applyFont="1" applyFill="1" applyBorder="1" applyAlignment="1">
      <alignment horizontal="center"/>
    </xf>
    <xf numFmtId="164" fontId="10" fillId="6" borderId="24" xfId="1" applyFont="1" applyFill="1" applyBorder="1"/>
    <xf numFmtId="164" fontId="11" fillId="0" borderId="24" xfId="1" applyFont="1" applyFill="1" applyBorder="1"/>
    <xf numFmtId="167" fontId="2" fillId="2" borderId="30" xfId="0" applyNumberFormat="1" applyFont="1" applyFill="1" applyBorder="1" applyAlignment="1">
      <alignment horizontal="center"/>
    </xf>
    <xf numFmtId="164" fontId="4" fillId="2" borderId="3" xfId="1" applyFont="1" applyFill="1" applyBorder="1" applyAlignment="1">
      <alignment horizontal="center"/>
    </xf>
    <xf numFmtId="0" fontId="2" fillId="2" borderId="3" xfId="0" applyFont="1" applyFill="1" applyBorder="1"/>
    <xf numFmtId="0" fontId="10" fillId="7" borderId="24" xfId="0" applyFont="1" applyFill="1" applyBorder="1"/>
    <xf numFmtId="17" fontId="10" fillId="7" borderId="24" xfId="0" applyNumberFormat="1" applyFont="1" applyFill="1" applyBorder="1" applyAlignment="1">
      <alignment horizontal="center"/>
    </xf>
    <xf numFmtId="164" fontId="10" fillId="7" borderId="24" xfId="1" applyFont="1" applyFill="1" applyBorder="1"/>
    <xf numFmtId="0" fontId="1" fillId="0" borderId="10" xfId="0" applyFont="1" applyBorder="1"/>
    <xf numFmtId="0" fontId="1" fillId="0" borderId="23" xfId="0" applyFont="1" applyBorder="1"/>
    <xf numFmtId="0" fontId="2" fillId="0" borderId="18" xfId="0" applyFont="1" applyBorder="1" applyAlignment="1">
      <alignment horizontal="center"/>
    </xf>
    <xf numFmtId="14" fontId="2" fillId="0" borderId="28" xfId="0" applyNumberFormat="1" applyFont="1" applyBorder="1" applyAlignment="1">
      <alignment horizontal="center"/>
    </xf>
    <xf numFmtId="164" fontId="6" fillId="0" borderId="7" xfId="1" applyFont="1" applyFill="1" applyBorder="1" applyAlignment="1">
      <alignment horizontal="center"/>
    </xf>
    <xf numFmtId="164" fontId="3" fillId="4" borderId="31" xfId="1" applyFont="1" applyFill="1" applyBorder="1" applyAlignment="1">
      <alignment horizontal="center"/>
    </xf>
    <xf numFmtId="164" fontId="4" fillId="2" borderId="5" xfId="1" applyFont="1" applyFill="1" applyBorder="1" applyAlignment="1">
      <alignment horizontal="center"/>
    </xf>
    <xf numFmtId="0" fontId="1" fillId="0" borderId="1" xfId="0" applyFont="1" applyBorder="1"/>
    <xf numFmtId="166" fontId="2" fillId="0" borderId="16" xfId="0" applyNumberFormat="1" applyFont="1" applyBorder="1" applyAlignment="1">
      <alignment horizontal="center"/>
    </xf>
    <xf numFmtId="166" fontId="2" fillId="2" borderId="3" xfId="0" applyNumberFormat="1" applyFont="1" applyFill="1" applyBorder="1" applyAlignment="1">
      <alignment horizontal="center"/>
    </xf>
    <xf numFmtId="166" fontId="2" fillId="0" borderId="3" xfId="0" applyNumberFormat="1" applyFont="1" applyBorder="1" applyAlignment="1">
      <alignment horizontal="center"/>
    </xf>
    <xf numFmtId="167" fontId="2" fillId="2" borderId="4" xfId="0" applyNumberFormat="1" applyFont="1" applyFill="1" applyBorder="1" applyAlignment="1">
      <alignment horizontal="center"/>
    </xf>
    <xf numFmtId="167" fontId="4" fillId="2" borderId="3" xfId="0" applyNumberFormat="1" applyFont="1" applyFill="1" applyBorder="1" applyAlignment="1">
      <alignment horizontal="center"/>
    </xf>
    <xf numFmtId="0" fontId="2" fillId="0" borderId="3" xfId="0" applyFont="1" applyBorder="1"/>
    <xf numFmtId="0" fontId="3" fillId="0" borderId="29" xfId="0" applyFont="1" applyBorder="1"/>
    <xf numFmtId="0" fontId="3" fillId="0" borderId="28" xfId="0" applyFont="1" applyBorder="1"/>
    <xf numFmtId="164" fontId="3" fillId="0" borderId="0" xfId="1" applyFont="1" applyFill="1" applyBorder="1" applyAlignment="1">
      <alignment horizontal="center"/>
    </xf>
    <xf numFmtId="164" fontId="2" fillId="2" borderId="2" xfId="1" applyFont="1" applyFill="1" applyBorder="1" applyAlignment="1">
      <alignment horizontal="center"/>
    </xf>
    <xf numFmtId="0" fontId="1" fillId="2" borderId="4" xfId="0" applyFont="1" applyFill="1" applyBorder="1"/>
    <xf numFmtId="0" fontId="2" fillId="0" borderId="25" xfId="0" applyFont="1" applyBorder="1" applyAlignment="1">
      <alignment horizontal="left"/>
    </xf>
    <xf numFmtId="164" fontId="10" fillId="0" borderId="0" xfId="0" applyNumberFormat="1" applyFont="1"/>
    <xf numFmtId="0" fontId="11" fillId="0" borderId="0" xfId="0" applyFont="1" applyAlignment="1">
      <alignment horizontal="center"/>
    </xf>
    <xf numFmtId="0" fontId="11" fillId="0" borderId="23" xfId="0" applyFont="1" applyBorder="1" applyAlignment="1">
      <alignment horizontal="center"/>
    </xf>
    <xf numFmtId="0" fontId="12" fillId="0" borderId="0" xfId="0" applyFont="1" applyAlignment="1">
      <alignment horizontal="center"/>
    </xf>
    <xf numFmtId="164" fontId="11" fillId="0" borderId="6" xfId="1" applyFont="1" applyFill="1" applyBorder="1"/>
    <xf numFmtId="164" fontId="10" fillId="0" borderId="25" xfId="0" applyNumberFormat="1" applyFont="1" applyBorder="1"/>
    <xf numFmtId="164" fontId="11" fillId="0" borderId="6" xfId="1" applyFont="1" applyFill="1" applyBorder="1" applyAlignment="1">
      <alignment horizontal="center"/>
    </xf>
    <xf numFmtId="0" fontId="11" fillId="0" borderId="25" xfId="0" applyFont="1" applyBorder="1" applyAlignment="1">
      <alignment horizontal="center"/>
    </xf>
    <xf numFmtId="164" fontId="11" fillId="0" borderId="10" xfId="1" applyFont="1" applyFill="1" applyBorder="1" applyAlignment="1">
      <alignment horizontal="center"/>
    </xf>
    <xf numFmtId="0" fontId="11" fillId="0" borderId="28" xfId="0" applyFont="1" applyBorder="1" applyAlignment="1">
      <alignment horizontal="center"/>
    </xf>
    <xf numFmtId="164" fontId="0" fillId="0" borderId="21" xfId="1" applyFont="1" applyFill="1" applyBorder="1"/>
    <xf numFmtId="164" fontId="2" fillId="0" borderId="0" xfId="1" applyFont="1" applyFill="1"/>
    <xf numFmtId="168" fontId="3" fillId="0" borderId="0" xfId="1" applyNumberFormat="1" applyFont="1" applyFill="1" applyBorder="1"/>
    <xf numFmtId="164" fontId="13" fillId="0" borderId="0" xfId="1" applyFont="1"/>
    <xf numFmtId="10" fontId="1" fillId="0" borderId="0" xfId="0" applyNumberFormat="1" applyFont="1"/>
    <xf numFmtId="164" fontId="1" fillId="0" borderId="25" xfId="0" applyNumberFormat="1" applyFont="1" applyBorder="1"/>
    <xf numFmtId="0" fontId="10" fillId="8" borderId="24" xfId="0" applyFont="1" applyFill="1" applyBorder="1"/>
    <xf numFmtId="17" fontId="10" fillId="8" borderId="24" xfId="0" applyNumberFormat="1" applyFont="1" applyFill="1" applyBorder="1" applyAlignment="1">
      <alignment horizontal="center"/>
    </xf>
    <xf numFmtId="164" fontId="10" fillId="8" borderId="24" xfId="1" applyFont="1" applyFill="1" applyBorder="1"/>
    <xf numFmtId="0" fontId="10" fillId="9" borderId="24" xfId="0" applyFont="1" applyFill="1" applyBorder="1"/>
    <xf numFmtId="17" fontId="10" fillId="9" borderId="24" xfId="0" applyNumberFormat="1" applyFont="1" applyFill="1" applyBorder="1" applyAlignment="1">
      <alignment horizontal="center"/>
    </xf>
    <xf numFmtId="164" fontId="10" fillId="9" borderId="24" xfId="1" applyFont="1" applyFill="1" applyBorder="1"/>
    <xf numFmtId="0" fontId="14" fillId="0" borderId="0" xfId="0" applyFont="1"/>
    <xf numFmtId="0" fontId="10" fillId="10" borderId="24" xfId="0" applyFont="1" applyFill="1" applyBorder="1"/>
    <xf numFmtId="17" fontId="10" fillId="10" borderId="24" xfId="0" applyNumberFormat="1" applyFont="1" applyFill="1" applyBorder="1" applyAlignment="1">
      <alignment horizontal="center"/>
    </xf>
    <xf numFmtId="164" fontId="10" fillId="10" borderId="24" xfId="1" applyFont="1" applyFill="1" applyBorder="1"/>
    <xf numFmtId="0" fontId="10" fillId="11" borderId="24" xfId="0" applyFont="1" applyFill="1" applyBorder="1"/>
    <xf numFmtId="164" fontId="10" fillId="11" borderId="24" xfId="1" applyFont="1" applyFill="1" applyBorder="1"/>
    <xf numFmtId="0" fontId="15" fillId="0" borderId="0" xfId="0" applyFont="1"/>
    <xf numFmtId="164" fontId="3" fillId="0" borderId="0" xfId="1" applyFont="1" applyFill="1" applyBorder="1"/>
    <xf numFmtId="43" fontId="15" fillId="0" borderId="0" xfId="0" applyNumberFormat="1" applyFont="1"/>
    <xf numFmtId="0" fontId="11" fillId="0" borderId="32" xfId="0" applyFont="1" applyBorder="1"/>
    <xf numFmtId="164" fontId="11" fillId="0" borderId="32" xfId="1" applyFont="1" applyFill="1" applyBorder="1"/>
    <xf numFmtId="0" fontId="10" fillId="11" borderId="33" xfId="0" applyFont="1" applyFill="1" applyBorder="1"/>
    <xf numFmtId="17" fontId="10" fillId="11" borderId="33" xfId="0" applyNumberFormat="1" applyFont="1" applyFill="1" applyBorder="1" applyAlignment="1">
      <alignment horizontal="center"/>
    </xf>
    <xf numFmtId="0" fontId="11" fillId="0" borderId="34" xfId="0" applyFont="1" applyBorder="1"/>
    <xf numFmtId="164" fontId="11" fillId="0" borderId="34" xfId="1" applyFont="1" applyFill="1" applyBorder="1"/>
    <xf numFmtId="0" fontId="11" fillId="0" borderId="35" xfId="0" applyFont="1" applyBorder="1"/>
    <xf numFmtId="164" fontId="11" fillId="0" borderId="35" xfId="1" applyFont="1" applyFill="1" applyBorder="1"/>
    <xf numFmtId="164" fontId="4" fillId="2" borderId="36" xfId="1" applyFont="1" applyFill="1" applyBorder="1" applyAlignment="1">
      <alignment horizontal="center"/>
    </xf>
    <xf numFmtId="164" fontId="2" fillId="2" borderId="36" xfId="1" applyFont="1" applyFill="1" applyBorder="1" applyAlignment="1">
      <alignment horizontal="center"/>
    </xf>
    <xf numFmtId="164" fontId="4" fillId="2" borderId="4" xfId="1" applyFont="1" applyFill="1" applyBorder="1" applyAlignment="1">
      <alignment horizontal="center"/>
    </xf>
    <xf numFmtId="164" fontId="4" fillId="2" borderId="37" xfId="1" applyFont="1" applyFill="1" applyBorder="1" applyAlignment="1">
      <alignment horizontal="center"/>
    </xf>
    <xf numFmtId="167" fontId="2" fillId="2" borderId="36" xfId="0" applyNumberFormat="1" applyFont="1" applyFill="1" applyBorder="1" applyAlignment="1">
      <alignment horizontal="center"/>
    </xf>
    <xf numFmtId="164" fontId="0" fillId="0" borderId="0" xfId="1" applyFont="1" applyFill="1" applyBorder="1"/>
    <xf numFmtId="0" fontId="10" fillId="12" borderId="33" xfId="0" applyFont="1" applyFill="1" applyBorder="1"/>
    <xf numFmtId="17" fontId="10" fillId="12" borderId="33" xfId="0" applyNumberFormat="1" applyFont="1" applyFill="1" applyBorder="1" applyAlignment="1">
      <alignment horizontal="center"/>
    </xf>
    <xf numFmtId="0" fontId="10" fillId="12" borderId="24" xfId="0" applyFont="1" applyFill="1" applyBorder="1"/>
    <xf numFmtId="164" fontId="10" fillId="12" borderId="24" xfId="1" applyFont="1" applyFill="1" applyBorder="1"/>
    <xf numFmtId="164" fontId="0" fillId="0" borderId="0" xfId="1" applyFont="1" applyFill="1" applyAlignment="1">
      <alignment horizontal="right"/>
    </xf>
    <xf numFmtId="164" fontId="2" fillId="0" borderId="19" xfId="1" applyFont="1" applyFill="1" applyBorder="1" applyAlignment="1">
      <alignment horizontal="right"/>
    </xf>
    <xf numFmtId="164" fontId="2" fillId="0" borderId="20" xfId="1" applyFont="1" applyFill="1" applyBorder="1" applyAlignment="1">
      <alignment horizontal="right"/>
    </xf>
    <xf numFmtId="164" fontId="1" fillId="0" borderId="0" xfId="1" applyFont="1" applyFill="1" applyAlignment="1">
      <alignment horizontal="right"/>
    </xf>
    <xf numFmtId="164" fontId="2" fillId="0" borderId="19" xfId="0" applyNumberFormat="1" applyFont="1" applyBorder="1" applyAlignment="1">
      <alignment horizontal="right"/>
    </xf>
    <xf numFmtId="43" fontId="0" fillId="0" borderId="0" xfId="0" applyNumberFormat="1" applyAlignment="1">
      <alignment horizontal="right"/>
    </xf>
    <xf numFmtId="167" fontId="2" fillId="2" borderId="28" xfId="0" applyNumberFormat="1" applyFont="1" applyFill="1" applyBorder="1" applyAlignment="1">
      <alignment horizontal="center"/>
    </xf>
    <xf numFmtId="164" fontId="2" fillId="2" borderId="28" xfId="1" applyFont="1" applyFill="1" applyBorder="1" applyAlignment="1">
      <alignment horizontal="center"/>
    </xf>
    <xf numFmtId="164" fontId="2" fillId="2" borderId="18" xfId="1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16" fillId="0" borderId="0" xfId="0" applyFont="1"/>
    <xf numFmtId="0" fontId="17" fillId="0" borderId="0" xfId="0" applyFont="1"/>
    <xf numFmtId="164" fontId="17" fillId="0" borderId="0" xfId="1" applyFont="1" applyFill="1"/>
    <xf numFmtId="164" fontId="15" fillId="0" borderId="0" xfId="1" applyFont="1" applyFill="1"/>
    <xf numFmtId="164" fontId="15" fillId="0" borderId="0" xfId="0" applyNumberFormat="1" applyFont="1"/>
    <xf numFmtId="0" fontId="18" fillId="0" borderId="0" xfId="0" applyFont="1"/>
    <xf numFmtId="0" fontId="19" fillId="0" borderId="0" xfId="0" applyFont="1"/>
    <xf numFmtId="4" fontId="15" fillId="0" borderId="0" xfId="0" applyNumberFormat="1" applyFont="1"/>
    <xf numFmtId="164" fontId="15" fillId="0" borderId="0" xfId="1" applyFont="1" applyBorder="1"/>
    <xf numFmtId="169" fontId="15" fillId="0" borderId="0" xfId="0" applyNumberFormat="1" applyFont="1"/>
    <xf numFmtId="167" fontId="20" fillId="0" borderId="0" xfId="0" applyNumberFormat="1" applyFont="1" applyAlignment="1">
      <alignment horizontal="center"/>
    </xf>
    <xf numFmtId="0" fontId="21" fillId="0" borderId="0" xfId="0" applyFont="1"/>
    <xf numFmtId="164" fontId="11" fillId="0" borderId="9" xfId="1" applyFont="1" applyFill="1" applyBorder="1"/>
    <xf numFmtId="164" fontId="10" fillId="0" borderId="15" xfId="0" applyNumberFormat="1" applyFont="1" applyBorder="1"/>
    <xf numFmtId="164" fontId="10" fillId="0" borderId="29" xfId="0" applyNumberFormat="1" applyFont="1" applyBorder="1"/>
    <xf numFmtId="0" fontId="22" fillId="0" borderId="0" xfId="0" applyFont="1"/>
    <xf numFmtId="43" fontId="3" fillId="0" borderId="39" xfId="0" applyNumberFormat="1" applyFont="1" applyBorder="1"/>
    <xf numFmtId="43" fontId="3" fillId="0" borderId="40" xfId="0" applyNumberFormat="1" applyFont="1" applyBorder="1"/>
    <xf numFmtId="43" fontId="3" fillId="0" borderId="41" xfId="0" applyNumberFormat="1" applyFont="1" applyBorder="1"/>
    <xf numFmtId="0" fontId="23" fillId="0" borderId="0" xfId="0" applyFont="1"/>
    <xf numFmtId="164" fontId="3" fillId="0" borderId="31" xfId="1" applyFont="1" applyFill="1" applyBorder="1"/>
    <xf numFmtId="164" fontId="3" fillId="0" borderId="17" xfId="1" applyFont="1" applyFill="1" applyBorder="1"/>
    <xf numFmtId="164" fontId="3" fillId="0" borderId="18" xfId="1" applyFont="1" applyFill="1" applyBorder="1"/>
    <xf numFmtId="0" fontId="24" fillId="0" borderId="6" xfId="0" applyFont="1" applyBorder="1"/>
    <xf numFmtId="164" fontId="24" fillId="0" borderId="25" xfId="0" applyNumberFormat="1" applyFont="1" applyBorder="1" applyAlignment="1">
      <alignment horizontal="center"/>
    </xf>
    <xf numFmtId="164" fontId="2" fillId="0" borderId="22" xfId="1" applyFont="1" applyFill="1" applyBorder="1"/>
    <xf numFmtId="0" fontId="25" fillId="0" borderId="0" xfId="0" applyFont="1"/>
    <xf numFmtId="167" fontId="2" fillId="2" borderId="18" xfId="0" applyNumberFormat="1" applyFont="1" applyFill="1" applyBorder="1" applyAlignment="1">
      <alignment horizontal="center"/>
    </xf>
    <xf numFmtId="0" fontId="23" fillId="4" borderId="0" xfId="0" applyFont="1" applyFill="1"/>
    <xf numFmtId="0" fontId="2" fillId="2" borderId="3" xfId="0" applyFont="1" applyFill="1" applyBorder="1" applyAlignment="1">
      <alignment horizontal="center"/>
    </xf>
    <xf numFmtId="43" fontId="21" fillId="0" borderId="0" xfId="0" applyNumberFormat="1" applyFont="1"/>
    <xf numFmtId="164" fontId="26" fillId="0" borderId="0" xfId="0" applyNumberFormat="1" applyFont="1"/>
    <xf numFmtId="0" fontId="21" fillId="4" borderId="0" xfId="0" applyFont="1" applyFill="1"/>
    <xf numFmtId="0" fontId="26" fillId="4" borderId="0" xfId="0" applyFont="1" applyFill="1"/>
    <xf numFmtId="0" fontId="26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0" borderId="0" xfId="0" applyFont="1" applyAlignment="1">
      <alignment horizontal="left" indent="1"/>
    </xf>
    <xf numFmtId="0" fontId="2" fillId="3" borderId="9" xfId="0" applyFont="1" applyFill="1" applyBorder="1"/>
    <xf numFmtId="14" fontId="2" fillId="3" borderId="29" xfId="0" applyNumberFormat="1" applyFont="1" applyFill="1" applyBorder="1" applyAlignment="1">
      <alignment horizontal="center"/>
    </xf>
    <xf numFmtId="0" fontId="3" fillId="0" borderId="15" xfId="0" applyFont="1" applyBorder="1"/>
    <xf numFmtId="0" fontId="4" fillId="4" borderId="10" xfId="0" applyFont="1" applyFill="1" applyBorder="1"/>
    <xf numFmtId="0" fontId="3" fillId="0" borderId="23" xfId="0" applyFont="1" applyBorder="1"/>
    <xf numFmtId="0" fontId="2" fillId="2" borderId="6" xfId="0" applyFont="1" applyFill="1" applyBorder="1"/>
    <xf numFmtId="167" fontId="3" fillId="0" borderId="15" xfId="0" applyNumberFormat="1" applyFont="1" applyBorder="1" applyAlignment="1">
      <alignment horizontal="center"/>
    </xf>
    <xf numFmtId="167" fontId="3" fillId="0" borderId="23" xfId="0" applyNumberFormat="1" applyFont="1" applyBorder="1" applyAlignment="1">
      <alignment horizontal="center"/>
    </xf>
    <xf numFmtId="167" fontId="3" fillId="0" borderId="9" xfId="0" applyNumberFormat="1" applyFont="1" applyBorder="1" applyAlignment="1">
      <alignment horizontal="center"/>
    </xf>
    <xf numFmtId="167" fontId="3" fillId="0" borderId="10" xfId="0" applyNumberFormat="1" applyFont="1" applyBorder="1" applyAlignment="1">
      <alignment horizontal="center"/>
    </xf>
    <xf numFmtId="167" fontId="3" fillId="0" borderId="31" xfId="0" applyNumberFormat="1" applyFont="1" applyBorder="1" applyAlignment="1">
      <alignment horizontal="center"/>
    </xf>
    <xf numFmtId="167" fontId="3" fillId="0" borderId="18" xfId="0" applyNumberFormat="1" applyFont="1" applyBorder="1" applyAlignment="1">
      <alignment horizontal="center"/>
    </xf>
    <xf numFmtId="0" fontId="27" fillId="0" borderId="0" xfId="0" applyFont="1"/>
    <xf numFmtId="43" fontId="27" fillId="0" borderId="0" xfId="0" applyNumberFormat="1" applyFont="1" applyAlignment="1">
      <alignment horizontal="left"/>
    </xf>
    <xf numFmtId="164" fontId="27" fillId="0" borderId="0" xfId="0" applyNumberFormat="1" applyFont="1"/>
    <xf numFmtId="43" fontId="27" fillId="0" borderId="0" xfId="0" applyNumberFormat="1" applyFont="1"/>
    <xf numFmtId="0" fontId="27" fillId="4" borderId="0" xfId="0" applyFont="1" applyFill="1"/>
    <xf numFmtId="43" fontId="27" fillId="4" borderId="0" xfId="0" applyNumberFormat="1" applyFont="1" applyFill="1"/>
    <xf numFmtId="164" fontId="27" fillId="4" borderId="0" xfId="0" applyNumberFormat="1" applyFont="1" applyFill="1"/>
    <xf numFmtId="0" fontId="2" fillId="3" borderId="3" xfId="0" applyFont="1" applyFill="1" applyBorder="1" applyAlignment="1">
      <alignment horizontal="left"/>
    </xf>
    <xf numFmtId="0" fontId="2" fillId="3" borderId="4" xfId="0" applyFont="1" applyFill="1" applyBorder="1"/>
    <xf numFmtId="164" fontId="2" fillId="3" borderId="3" xfId="1" applyFont="1" applyFill="1" applyBorder="1"/>
    <xf numFmtId="0" fontId="3" fillId="0" borderId="9" xfId="0" applyFont="1" applyBorder="1"/>
    <xf numFmtId="43" fontId="3" fillId="0" borderId="6" xfId="0" applyNumberFormat="1" applyFont="1" applyBorder="1"/>
    <xf numFmtId="164" fontId="3" fillId="0" borderId="31" xfId="1" applyFont="1" applyFill="1" applyBorder="1" applyAlignment="1">
      <alignment horizontal="center"/>
    </xf>
    <xf numFmtId="164" fontId="3" fillId="0" borderId="31" xfId="0" applyNumberFormat="1" applyFont="1" applyBorder="1"/>
    <xf numFmtId="164" fontId="3" fillId="0" borderId="17" xfId="0" applyNumberFormat="1" applyFont="1" applyBorder="1"/>
    <xf numFmtId="167" fontId="3" fillId="0" borderId="17" xfId="0" applyNumberFormat="1" applyFont="1" applyBorder="1" applyAlignment="1">
      <alignment horizontal="center"/>
    </xf>
    <xf numFmtId="164" fontId="3" fillId="0" borderId="15" xfId="1" applyFont="1" applyFill="1" applyBorder="1" applyAlignment="1">
      <alignment horizontal="center"/>
    </xf>
    <xf numFmtId="167" fontId="3" fillId="0" borderId="6" xfId="0" applyNumberFormat="1" applyFont="1" applyBorder="1" applyAlignment="1">
      <alignment horizontal="center"/>
    </xf>
    <xf numFmtId="167" fontId="3" fillId="0" borderId="10" xfId="0" applyNumberFormat="1" applyFont="1" applyBorder="1"/>
    <xf numFmtId="167" fontId="3" fillId="0" borderId="17" xfId="0" applyNumberFormat="1" applyFont="1" applyBorder="1"/>
    <xf numFmtId="167" fontId="3" fillId="0" borderId="18" xfId="0" applyNumberFormat="1" applyFont="1" applyBorder="1"/>
    <xf numFmtId="167" fontId="2" fillId="2" borderId="31" xfId="0" applyNumberFormat="1" applyFont="1" applyFill="1" applyBorder="1" applyAlignment="1">
      <alignment horizontal="center"/>
    </xf>
    <xf numFmtId="0" fontId="2" fillId="2" borderId="23" xfId="0" applyFont="1" applyFill="1" applyBorder="1"/>
    <xf numFmtId="164" fontId="11" fillId="0" borderId="0" xfId="1" applyFont="1" applyFill="1" applyBorder="1" applyAlignment="1">
      <alignment horizontal="center"/>
    </xf>
    <xf numFmtId="164" fontId="3" fillId="0" borderId="42" xfId="1" applyFont="1" applyFill="1" applyBorder="1" applyAlignment="1">
      <alignment horizontal="center"/>
    </xf>
    <xf numFmtId="0" fontId="2" fillId="2" borderId="2" xfId="0" applyFont="1" applyFill="1" applyBorder="1"/>
    <xf numFmtId="0" fontId="2" fillId="2" borderId="0" xfId="0" applyFont="1" applyFill="1"/>
    <xf numFmtId="0" fontId="3" fillId="4" borderId="0" xfId="0" applyFont="1" applyFill="1"/>
    <xf numFmtId="0" fontId="2" fillId="2" borderId="15" xfId="0" applyFont="1" applyFill="1" applyBorder="1"/>
    <xf numFmtId="167" fontId="2" fillId="2" borderId="15" xfId="0" applyNumberFormat="1" applyFont="1" applyFill="1" applyBorder="1" applyAlignment="1">
      <alignment horizontal="center"/>
    </xf>
    <xf numFmtId="167" fontId="2" fillId="2" borderId="3" xfId="0" applyNumberFormat="1" applyFont="1" applyFill="1" applyBorder="1"/>
    <xf numFmtId="167" fontId="2" fillId="2" borderId="17" xfId="0" applyNumberFormat="1" applyFont="1" applyFill="1" applyBorder="1" applyAlignment="1">
      <alignment horizontal="center"/>
    </xf>
    <xf numFmtId="167" fontId="2" fillId="2" borderId="29" xfId="0" applyNumberFormat="1" applyFont="1" applyFill="1" applyBorder="1" applyAlignment="1">
      <alignment horizontal="center"/>
    </xf>
    <xf numFmtId="0" fontId="4" fillId="0" borderId="0" xfId="0" applyFont="1"/>
    <xf numFmtId="0" fontId="0" fillId="13" borderId="0" xfId="0" applyFill="1" applyAlignment="1">
      <alignment vertical="top"/>
    </xf>
    <xf numFmtId="43" fontId="22" fillId="0" borderId="0" xfId="0" applyNumberFormat="1" applyFont="1"/>
    <xf numFmtId="0" fontId="4" fillId="4" borderId="9" xfId="0" applyFont="1" applyFill="1" applyBorder="1"/>
    <xf numFmtId="164" fontId="4" fillId="2" borderId="18" xfId="1" applyFont="1" applyFill="1" applyBorder="1" applyAlignment="1">
      <alignment horizontal="center"/>
    </xf>
    <xf numFmtId="164" fontId="2" fillId="2" borderId="41" xfId="1" applyFont="1" applyFill="1" applyBorder="1" applyAlignment="1">
      <alignment horizontal="center"/>
    </xf>
    <xf numFmtId="164" fontId="2" fillId="2" borderId="12" xfId="1" applyFont="1" applyFill="1" applyBorder="1" applyAlignment="1">
      <alignment horizontal="center"/>
    </xf>
    <xf numFmtId="164" fontId="4" fillId="2" borderId="12" xfId="1" applyFont="1" applyFill="1" applyBorder="1" applyAlignment="1">
      <alignment horizontal="center"/>
    </xf>
    <xf numFmtId="164" fontId="4" fillId="2" borderId="28" xfId="1" applyFont="1" applyFill="1" applyBorder="1" applyAlignment="1">
      <alignment horizontal="center"/>
    </xf>
    <xf numFmtId="164" fontId="2" fillId="2" borderId="18" xfId="0" applyNumberFormat="1" applyFont="1" applyFill="1" applyBorder="1"/>
    <xf numFmtId="43" fontId="10" fillId="0" borderId="25" xfId="0" applyNumberFormat="1" applyFont="1" applyBorder="1" applyAlignment="1">
      <alignment horizontal="right" indent="1"/>
    </xf>
    <xf numFmtId="164" fontId="2" fillId="2" borderId="1" xfId="0" applyNumberFormat="1" applyFont="1" applyFill="1" applyBorder="1"/>
    <xf numFmtId="164" fontId="4" fillId="2" borderId="2" xfId="1" applyFont="1" applyFill="1" applyBorder="1" applyAlignment="1">
      <alignment horizontal="center"/>
    </xf>
    <xf numFmtId="164" fontId="3" fillId="0" borderId="38" xfId="1" applyFont="1" applyFill="1" applyBorder="1" applyAlignment="1">
      <alignment horizontal="center"/>
    </xf>
    <xf numFmtId="164" fontId="6" fillId="0" borderId="38" xfId="1" applyFont="1" applyFill="1" applyBorder="1" applyAlignment="1">
      <alignment horizontal="center"/>
    </xf>
    <xf numFmtId="167" fontId="2" fillId="2" borderId="2" xfId="0" applyNumberFormat="1" applyFont="1" applyFill="1" applyBorder="1" applyAlignment="1">
      <alignment horizontal="center"/>
    </xf>
    <xf numFmtId="164" fontId="6" fillId="0" borderId="0" xfId="1" applyFont="1" applyFill="1" applyBorder="1" applyAlignment="1">
      <alignment horizontal="center"/>
    </xf>
    <xf numFmtId="164" fontId="6" fillId="0" borderId="17" xfId="1" applyFont="1" applyFill="1" applyBorder="1" applyAlignment="1">
      <alignment horizontal="center"/>
    </xf>
    <xf numFmtId="164" fontId="6" fillId="0" borderId="18" xfId="1" applyFont="1" applyFill="1" applyBorder="1" applyAlignment="1">
      <alignment horizontal="center"/>
    </xf>
    <xf numFmtId="164" fontId="3" fillId="0" borderId="25" xfId="1" applyFont="1" applyFill="1" applyBorder="1"/>
    <xf numFmtId="43" fontId="1" fillId="0" borderId="25" xfId="0" applyNumberFormat="1" applyFont="1" applyBorder="1"/>
    <xf numFmtId="0" fontId="10" fillId="0" borderId="0" xfId="0" applyFont="1"/>
    <xf numFmtId="0" fontId="2" fillId="3" borderId="15" xfId="0" applyFont="1" applyFill="1" applyBorder="1"/>
    <xf numFmtId="0" fontId="2" fillId="3" borderId="31" xfId="0" applyFont="1" applyFill="1" applyBorder="1" applyAlignment="1">
      <alignment horizontal="center"/>
    </xf>
    <xf numFmtId="164" fontId="3" fillId="0" borderId="9" xfId="1" applyFont="1" applyFill="1" applyBorder="1"/>
    <xf numFmtId="164" fontId="3" fillId="0" borderId="6" xfId="1" applyFont="1" applyFill="1" applyBorder="1"/>
    <xf numFmtId="164" fontId="3" fillId="0" borderId="25" xfId="0" applyNumberFormat="1" applyFont="1" applyBorder="1"/>
    <xf numFmtId="0" fontId="29" fillId="0" borderId="0" xfId="0" applyFont="1"/>
    <xf numFmtId="0" fontId="30" fillId="0" borderId="0" xfId="0" applyFont="1"/>
    <xf numFmtId="43" fontId="19" fillId="0" borderId="0" xfId="0" applyNumberFormat="1" applyFont="1"/>
    <xf numFmtId="0" fontId="19" fillId="0" borderId="0" xfId="0" applyFont="1" applyAlignment="1">
      <alignment horizontal="center"/>
    </xf>
    <xf numFmtId="164" fontId="19" fillId="0" borderId="0" xfId="1" applyFont="1" applyFill="1"/>
    <xf numFmtId="167" fontId="2" fillId="2" borderId="6" xfId="0" applyNumberFormat="1" applyFont="1" applyFill="1" applyBorder="1" applyAlignment="1">
      <alignment horizontal="center"/>
    </xf>
    <xf numFmtId="164" fontId="4" fillId="2" borderId="23" xfId="1" applyFont="1" applyFill="1" applyBorder="1" applyAlignment="1">
      <alignment horizontal="center"/>
    </xf>
    <xf numFmtId="43" fontId="2" fillId="2" borderId="3" xfId="0" applyNumberFormat="1" applyFont="1" applyFill="1" applyBorder="1"/>
    <xf numFmtId="43" fontId="2" fillId="2" borderId="16" xfId="0" applyNumberFormat="1" applyFont="1" applyFill="1" applyBorder="1"/>
    <xf numFmtId="167" fontId="2" fillId="2" borderId="41" xfId="0" applyNumberFormat="1" applyFont="1" applyFill="1" applyBorder="1" applyAlignment="1">
      <alignment horizontal="center"/>
    </xf>
    <xf numFmtId="164" fontId="19" fillId="0" borderId="0" xfId="0" applyNumberFormat="1" applyFont="1"/>
    <xf numFmtId="2" fontId="11" fillId="0" borderId="25" xfId="0" applyNumberFormat="1" applyFont="1" applyBorder="1" applyAlignment="1">
      <alignment horizontal="left" indent="6"/>
    </xf>
    <xf numFmtId="0" fontId="31" fillId="14" borderId="0" xfId="0" applyFont="1" applyFill="1"/>
    <xf numFmtId="0" fontId="14" fillId="4" borderId="0" xfId="0" applyFont="1" applyFill="1"/>
    <xf numFmtId="0" fontId="32" fillId="15" borderId="0" xfId="0" applyFont="1" applyFill="1"/>
    <xf numFmtId="0" fontId="33" fillId="16" borderId="0" xfId="0" applyFont="1" applyFill="1"/>
    <xf numFmtId="0" fontId="33" fillId="17" borderId="0" xfId="0" applyFont="1" applyFill="1"/>
    <xf numFmtId="0" fontId="32" fillId="4" borderId="0" xfId="0" applyFont="1" applyFill="1"/>
    <xf numFmtId="0" fontId="31" fillId="18" borderId="0" xfId="0" applyFont="1" applyFill="1"/>
    <xf numFmtId="0" fontId="31" fillId="14" borderId="0" xfId="0" applyFont="1" applyFill="1" applyAlignment="1">
      <alignment horizontal="center"/>
    </xf>
    <xf numFmtId="14" fontId="31" fillId="14" borderId="0" xfId="0" applyNumberFormat="1" applyFont="1" applyFill="1" applyAlignment="1">
      <alignment horizontal="center"/>
    </xf>
    <xf numFmtId="164" fontId="3" fillId="19" borderId="6" xfId="1" applyFont="1" applyFill="1" applyBorder="1" applyAlignment="1">
      <alignment horizontal="center"/>
    </xf>
    <xf numFmtId="164" fontId="3" fillId="19" borderId="7" xfId="1" applyFont="1" applyFill="1" applyBorder="1" applyAlignment="1">
      <alignment horizontal="center"/>
    </xf>
    <xf numFmtId="164" fontId="3" fillId="19" borderId="0" xfId="0" applyNumberFormat="1" applyFont="1" applyFill="1"/>
    <xf numFmtId="167" fontId="3" fillId="19" borderId="0" xfId="0" applyNumberFormat="1" applyFont="1" applyFill="1" applyAlignment="1">
      <alignment horizontal="center"/>
    </xf>
    <xf numFmtId="164" fontId="3" fillId="19" borderId="0" xfId="1" applyFont="1" applyFill="1" applyBorder="1" applyAlignment="1">
      <alignment horizontal="center"/>
    </xf>
    <xf numFmtId="164" fontId="3" fillId="19" borderId="15" xfId="1" applyFont="1" applyFill="1" applyBorder="1" applyAlignment="1">
      <alignment horizontal="center"/>
    </xf>
    <xf numFmtId="164" fontId="3" fillId="6" borderId="6" xfId="1" applyFont="1" applyFill="1" applyBorder="1" applyAlignment="1">
      <alignment horizontal="center"/>
    </xf>
    <xf numFmtId="167" fontId="3" fillId="6" borderId="17" xfId="0" applyNumberFormat="1" applyFont="1" applyFill="1" applyBorder="1" applyAlignment="1">
      <alignment horizontal="center"/>
    </xf>
    <xf numFmtId="164" fontId="3" fillId="7" borderId="6" xfId="1" applyFont="1" applyFill="1" applyBorder="1" applyAlignment="1">
      <alignment horizontal="center"/>
    </xf>
    <xf numFmtId="167" fontId="3" fillId="7" borderId="17" xfId="0" applyNumberFormat="1" applyFont="1" applyFill="1" applyBorder="1" applyAlignment="1">
      <alignment horizontal="center"/>
    </xf>
    <xf numFmtId="164" fontId="3" fillId="20" borderId="9" xfId="1" applyFont="1" applyFill="1" applyBorder="1" applyAlignment="1">
      <alignment horizontal="center"/>
    </xf>
    <xf numFmtId="164" fontId="3" fillId="20" borderId="6" xfId="1" applyFont="1" applyFill="1" applyBorder="1" applyAlignment="1">
      <alignment horizontal="center"/>
    </xf>
    <xf numFmtId="167" fontId="3" fillId="20" borderId="17" xfId="0" applyNumberFormat="1" applyFont="1" applyFill="1" applyBorder="1" applyAlignment="1">
      <alignment horizontal="center"/>
    </xf>
    <xf numFmtId="167" fontId="3" fillId="21" borderId="0" xfId="0" applyNumberFormat="1" applyFont="1" applyFill="1" applyAlignment="1">
      <alignment horizontal="center"/>
    </xf>
    <xf numFmtId="167" fontId="3" fillId="21" borderId="15" xfId="0" applyNumberFormat="1" applyFont="1" applyFill="1" applyBorder="1" applyAlignment="1">
      <alignment horizontal="center"/>
    </xf>
    <xf numFmtId="167" fontId="3" fillId="5" borderId="0" xfId="0" applyNumberFormat="1" applyFont="1" applyFill="1" applyAlignment="1">
      <alignment horizontal="center"/>
    </xf>
    <xf numFmtId="167" fontId="3" fillId="5" borderId="15" xfId="0" applyNumberFormat="1" applyFont="1" applyFill="1" applyBorder="1" applyAlignment="1">
      <alignment horizontal="center"/>
    </xf>
    <xf numFmtId="167" fontId="3" fillId="5" borderId="31" xfId="0" applyNumberFormat="1" applyFont="1" applyFill="1" applyBorder="1" applyAlignment="1">
      <alignment horizontal="center"/>
    </xf>
    <xf numFmtId="167" fontId="3" fillId="5" borderId="17" xfId="0" applyNumberFormat="1" applyFont="1" applyFill="1" applyBorder="1" applyAlignment="1">
      <alignment horizontal="center"/>
    </xf>
    <xf numFmtId="167" fontId="3" fillId="5" borderId="18" xfId="0" applyNumberFormat="1" applyFont="1" applyFill="1" applyBorder="1" applyAlignment="1">
      <alignment horizontal="center"/>
    </xf>
    <xf numFmtId="167" fontId="3" fillId="22" borderId="17" xfId="0" applyNumberFormat="1" applyFont="1" applyFill="1" applyBorder="1" applyAlignment="1">
      <alignment horizontal="center"/>
    </xf>
    <xf numFmtId="167" fontId="3" fillId="22" borderId="6" xfId="0" applyNumberFormat="1" applyFont="1" applyFill="1" applyBorder="1" applyAlignment="1">
      <alignment horizontal="center"/>
    </xf>
    <xf numFmtId="167" fontId="3" fillId="23" borderId="6" xfId="0" applyNumberFormat="1" applyFont="1" applyFill="1" applyBorder="1" applyAlignment="1">
      <alignment horizontal="center"/>
    </xf>
    <xf numFmtId="167" fontId="3" fillId="24" borderId="6" xfId="0" applyNumberFormat="1" applyFont="1" applyFill="1" applyBorder="1" applyAlignment="1">
      <alignment horizontal="center"/>
    </xf>
    <xf numFmtId="167" fontId="3" fillId="6" borderId="6" xfId="0" applyNumberFormat="1" applyFont="1" applyFill="1" applyBorder="1" applyAlignment="1">
      <alignment horizontal="center"/>
    </xf>
    <xf numFmtId="167" fontId="3" fillId="25" borderId="17" xfId="0" applyNumberFormat="1" applyFont="1" applyFill="1" applyBorder="1" applyAlignment="1">
      <alignment horizontal="center"/>
    </xf>
    <xf numFmtId="0" fontId="14" fillId="4" borderId="0" xfId="3" applyFont="1" applyFill="1"/>
    <xf numFmtId="0" fontId="33" fillId="17" borderId="0" xfId="3" applyFont="1" applyFill="1"/>
    <xf numFmtId="168" fontId="0" fillId="0" borderId="0" xfId="0" applyNumberFormat="1"/>
    <xf numFmtId="164" fontId="0" fillId="0" borderId="0" xfId="0" applyNumberFormat="1"/>
    <xf numFmtId="164" fontId="14" fillId="4" borderId="0" xfId="1" applyFont="1" applyFill="1"/>
    <xf numFmtId="164" fontId="31" fillId="15" borderId="0" xfId="1" applyFont="1" applyFill="1"/>
    <xf numFmtId="164" fontId="14" fillId="4" borderId="0" xfId="0" applyNumberFormat="1" applyFont="1" applyFill="1"/>
    <xf numFmtId="164" fontId="33" fillId="16" borderId="0" xfId="1" applyFont="1" applyFill="1"/>
    <xf numFmtId="164" fontId="33" fillId="17" borderId="0" xfId="1" applyFont="1" applyFill="1"/>
    <xf numFmtId="164" fontId="32" fillId="15" borderId="0" xfId="1" applyFont="1" applyFill="1"/>
    <xf numFmtId="164" fontId="32" fillId="4" borderId="0" xfId="0" applyNumberFormat="1" applyFont="1" applyFill="1"/>
    <xf numFmtId="164" fontId="31" fillId="18" borderId="0" xfId="1" applyFont="1" applyFill="1"/>
    <xf numFmtId="14" fontId="0" fillId="0" borderId="0" xfId="1" applyNumberFormat="1" applyFont="1" applyFill="1" applyAlignment="1">
      <alignment horizontal="center"/>
    </xf>
    <xf numFmtId="9" fontId="1" fillId="0" borderId="0" xfId="4" applyFont="1" applyAlignment="1">
      <alignment horizontal="left"/>
    </xf>
    <xf numFmtId="164" fontId="2" fillId="2" borderId="46" xfId="1" applyFont="1" applyFill="1" applyBorder="1" applyAlignment="1">
      <alignment horizontal="center"/>
    </xf>
    <xf numFmtId="167" fontId="3" fillId="0" borderId="6" xfId="0" applyNumberFormat="1" applyFont="1" applyBorder="1"/>
    <xf numFmtId="167" fontId="3" fillId="0" borderId="25" xfId="0" applyNumberFormat="1" applyFont="1" applyBorder="1"/>
    <xf numFmtId="167" fontId="3" fillId="0" borderId="28" xfId="0" applyNumberFormat="1" applyFont="1" applyBorder="1"/>
    <xf numFmtId="164" fontId="3" fillId="5" borderId="17" xfId="1" applyFont="1" applyFill="1" applyBorder="1"/>
    <xf numFmtId="164" fontId="3" fillId="0" borderId="29" xfId="1" applyFont="1" applyFill="1" applyBorder="1"/>
    <xf numFmtId="0" fontId="2" fillId="3" borderId="29" xfId="0" applyFont="1" applyFill="1" applyBorder="1"/>
    <xf numFmtId="0" fontId="2" fillId="3" borderId="29" xfId="0" applyFont="1" applyFill="1" applyBorder="1" applyAlignment="1">
      <alignment horizontal="center"/>
    </xf>
    <xf numFmtId="0" fontId="1" fillId="3" borderId="10" xfId="0" applyFont="1" applyFill="1" applyBorder="1"/>
    <xf numFmtId="0" fontId="2" fillId="3" borderId="28" xfId="0" applyFont="1" applyFill="1" applyBorder="1" applyAlignment="1">
      <alignment horizontal="right"/>
    </xf>
    <xf numFmtId="0" fontId="1" fillId="3" borderId="11" xfId="0" applyFont="1" applyFill="1" applyBorder="1"/>
    <xf numFmtId="164" fontId="2" fillId="3" borderId="28" xfId="1" applyFont="1" applyFill="1" applyBorder="1" applyAlignment="1">
      <alignment horizontal="left"/>
    </xf>
    <xf numFmtId="164" fontId="3" fillId="0" borderId="15" xfId="1" applyFont="1" applyFill="1" applyBorder="1"/>
    <xf numFmtId="164" fontId="3" fillId="0" borderId="23" xfId="1" applyFont="1" applyFill="1" applyBorder="1"/>
    <xf numFmtId="164" fontId="3" fillId="0" borderId="28" xfId="1" applyFont="1" applyFill="1" applyBorder="1"/>
    <xf numFmtId="43" fontId="3" fillId="0" borderId="31" xfId="0" applyNumberFormat="1" applyFont="1" applyBorder="1"/>
    <xf numFmtId="43" fontId="3" fillId="0" borderId="18" xfId="0" applyNumberFormat="1" applyFont="1" applyBorder="1"/>
    <xf numFmtId="167" fontId="2" fillId="2" borderId="47" xfId="0" applyNumberFormat="1" applyFont="1" applyFill="1" applyBorder="1" applyAlignment="1">
      <alignment horizontal="center"/>
    </xf>
    <xf numFmtId="164" fontId="4" fillId="2" borderId="0" xfId="1" applyFont="1" applyFill="1" applyBorder="1" applyAlignment="1">
      <alignment horizontal="center"/>
    </xf>
    <xf numFmtId="164" fontId="2" fillId="2" borderId="17" xfId="1" applyFont="1" applyFill="1" applyBorder="1" applyAlignment="1">
      <alignment horizontal="center"/>
    </xf>
    <xf numFmtId="167" fontId="2" fillId="2" borderId="0" xfId="0" applyNumberFormat="1" applyFont="1" applyFill="1" applyAlignment="1">
      <alignment horizontal="center"/>
    </xf>
    <xf numFmtId="167" fontId="3" fillId="0" borderId="0" xfId="0" applyNumberFormat="1" applyFont="1"/>
    <xf numFmtId="167" fontId="3" fillId="0" borderId="23" xfId="0" applyNumberFormat="1" applyFont="1" applyBorder="1"/>
    <xf numFmtId="167" fontId="2" fillId="2" borderId="9" xfId="0" applyNumberFormat="1" applyFont="1" applyFill="1" applyBorder="1" applyAlignment="1">
      <alignment horizontal="center"/>
    </xf>
    <xf numFmtId="167" fontId="2" fillId="2" borderId="10" xfId="0" applyNumberFormat="1" applyFont="1" applyFill="1" applyBorder="1" applyAlignment="1">
      <alignment horizontal="center"/>
    </xf>
    <xf numFmtId="43" fontId="3" fillId="19" borderId="7" xfId="1" applyNumberFormat="1" applyFont="1" applyFill="1" applyBorder="1" applyAlignment="1">
      <alignment horizontal="center"/>
    </xf>
    <xf numFmtId="43" fontId="3" fillId="6" borderId="7" xfId="1" applyNumberFormat="1" applyFont="1" applyFill="1" applyBorder="1" applyAlignment="1">
      <alignment horizontal="center"/>
    </xf>
    <xf numFmtId="0" fontId="16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0" borderId="43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7" fillId="0" borderId="0" xfId="0" applyFont="1" applyAlignment="1">
      <alignment horizontal="center" vertical="center" wrapText="1"/>
    </xf>
    <xf numFmtId="164" fontId="10" fillId="5" borderId="1" xfId="1" applyFont="1" applyFill="1" applyBorder="1" applyAlignment="1">
      <alignment horizontal="center"/>
    </xf>
    <xf numFmtId="164" fontId="10" fillId="5" borderId="2" xfId="1" applyFont="1" applyFill="1" applyBorder="1" applyAlignment="1">
      <alignment horizontal="center"/>
    </xf>
    <xf numFmtId="164" fontId="10" fillId="5" borderId="3" xfId="1" applyFont="1" applyFill="1" applyBorder="1" applyAlignment="1">
      <alignment horizontal="center"/>
    </xf>
    <xf numFmtId="164" fontId="10" fillId="5" borderId="9" xfId="1" applyFont="1" applyFill="1" applyBorder="1" applyAlignment="1">
      <alignment horizontal="center"/>
    </xf>
    <xf numFmtId="164" fontId="10" fillId="5" borderId="15" xfId="1" applyFont="1" applyFill="1" applyBorder="1" applyAlignment="1">
      <alignment horizontal="center"/>
    </xf>
    <xf numFmtId="164" fontId="10" fillId="5" borderId="29" xfId="1" applyFont="1" applyFill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5">
    <cellStyle name="Normal" xfId="0" builtinId="0"/>
    <cellStyle name="Normal 2" xfId="2" xr:uid="{00000000-0005-0000-0000-000001000000}"/>
    <cellStyle name="Normal 4" xfId="3" xr:uid="{9040D356-9393-4FC8-936B-9459C91CD732}"/>
    <cellStyle name="Porcentagem" xfId="4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bdnorg-my.sharepoint.com/personal/adm_cbdnorg_onmicrosoft_com/Documents/CBDN/Financeiro%20e%20Presta&#231;&#227;o%20de%20contas/Contabilidade/Contabilidade%202017/Balancetes%202017/CBDN%20Balancete%20DEZ%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bdnorg-my.sharepoint.com/personal/adm_cbdnorg_onmicrosoft_com/Documents/CBDN/Financeiro%20e%20Presta&#231;&#227;o%20de%20contas/Contabilidade/Contabilidade%202018/Balancetes%202018/CBDN%20Balancete%20DEZ%2018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Rosangela\Contabilidade\2023\Dezembro%2023\CBDN%20Balancete%20DEZ%202023.xlsx" TargetMode="External"/><Relationship Id="rId1" Type="http://schemas.openxmlformats.org/officeDocument/2006/relationships/externalLinkPath" Target="/Rosangela/Contabilidade/2023/Dezembro%2023/CBDN%20Balancete%20DEZ%202023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bdnorg.sharepoint.com/sites/financeiro-cloud/Documentos%20Compartilhados/General/Financeiro%20e%20Presta&#231;&#227;o%20de%20contas/Contabilidade/Contabilidade%202024/Balancetes%202024/CBDN%20Balancete%20DEZ%202024.xlsx" TargetMode="External"/><Relationship Id="rId1" Type="http://schemas.openxmlformats.org/officeDocument/2006/relationships/externalLinkPath" Target="https://cbdnorg.sharepoint.com/sites/financeiro-cloud/Documentos%20Compartilhados/General/Financeiro%20e%20Presta&#231;&#227;o%20de%20contas/Contabilidade/Contabilidade%202024/Balancetes%202024/CBDN%20Balancete%20DEZ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te agosto 2017"/>
      <sheetName val="Balanco"/>
      <sheetName val="DLP"/>
    </sheetNames>
    <sheetDataSet>
      <sheetData sheetId="0">
        <row r="70">
          <cell r="D70">
            <v>-177801.61</v>
          </cell>
        </row>
        <row r="311">
          <cell r="C311">
            <v>61060.59</v>
          </cell>
        </row>
      </sheetData>
      <sheetData sheetId="1">
        <row r="27">
          <cell r="F27">
            <v>343653.82999999996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te 2018 "/>
      <sheetName val="Provisão Piva e CPB"/>
      <sheetName val="Balanco"/>
      <sheetName val="DLP"/>
    </sheetNames>
    <sheetDataSet>
      <sheetData sheetId="0">
        <row r="60">
          <cell r="H60">
            <v>8580.25</v>
          </cell>
        </row>
        <row r="61">
          <cell r="H61">
            <v>16754.68</v>
          </cell>
        </row>
        <row r="62">
          <cell r="H62">
            <v>30900.080000000002</v>
          </cell>
        </row>
        <row r="63">
          <cell r="H63">
            <v>305552.07</v>
          </cell>
        </row>
        <row r="64">
          <cell r="H64">
            <v>56618.2</v>
          </cell>
        </row>
        <row r="65">
          <cell r="H65">
            <v>977.1</v>
          </cell>
        </row>
        <row r="66">
          <cell r="H66">
            <v>33999.040000000001</v>
          </cell>
        </row>
        <row r="67">
          <cell r="H67">
            <v>53775.56</v>
          </cell>
        </row>
        <row r="68">
          <cell r="H68">
            <v>57430.31</v>
          </cell>
        </row>
        <row r="69">
          <cell r="H69">
            <v>42124.6</v>
          </cell>
        </row>
        <row r="70">
          <cell r="H70">
            <v>-254397.53</v>
          </cell>
        </row>
        <row r="320">
          <cell r="C320">
            <v>76595.92</v>
          </cell>
        </row>
      </sheetData>
      <sheetData sheetId="1"/>
      <sheetData sheetId="2">
        <row r="20">
          <cell r="F20">
            <v>2228676.4299999997</v>
          </cell>
        </row>
        <row r="27">
          <cell r="F27">
            <v>352314.36</v>
          </cell>
        </row>
        <row r="30">
          <cell r="M30">
            <v>2580990.79</v>
          </cell>
        </row>
      </sheetData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te 2023"/>
      <sheetName val="Provisão Piva e CPB"/>
      <sheetName val="Balanco"/>
      <sheetName val="DLP"/>
    </sheetNames>
    <sheetDataSet>
      <sheetData sheetId="0" refreshError="1"/>
      <sheetData sheetId="1" refreshError="1"/>
      <sheetData sheetId="2" refreshError="1">
        <row r="18">
          <cell r="M18">
            <v>83372.3</v>
          </cell>
        </row>
        <row r="19">
          <cell r="M19">
            <v>1392898.4399999985</v>
          </cell>
        </row>
        <row r="20">
          <cell r="M20">
            <v>1004694.8500000001</v>
          </cell>
        </row>
        <row r="21">
          <cell r="M21">
            <v>0</v>
          </cell>
        </row>
        <row r="22">
          <cell r="M22">
            <v>0</v>
          </cell>
        </row>
        <row r="23">
          <cell r="M23">
            <v>32527.73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te 2024"/>
      <sheetName val="Provisão Piva e CPB"/>
      <sheetName val="Balanco"/>
      <sheetName val="DLP"/>
    </sheetNames>
    <sheetDataSet>
      <sheetData sheetId="0" refreshError="1"/>
      <sheetData sheetId="1" refreshError="1"/>
      <sheetData sheetId="2">
        <row r="18">
          <cell r="M18">
            <v>5882.4</v>
          </cell>
        </row>
        <row r="19">
          <cell r="M19">
            <v>1277499.0700000003</v>
          </cell>
        </row>
        <row r="20">
          <cell r="M20">
            <v>25308.400000000001</v>
          </cell>
        </row>
        <row r="21">
          <cell r="M21">
            <v>0</v>
          </cell>
        </row>
        <row r="22">
          <cell r="M22">
            <v>0</v>
          </cell>
        </row>
        <row r="23">
          <cell r="M23">
            <v>0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Y609"/>
  <sheetViews>
    <sheetView showGridLines="0" tabSelected="1" zoomScale="80" zoomScaleNormal="80" workbookViewId="0">
      <pane xSplit="2" ySplit="2" topLeftCell="C172" activePane="bottomRight" state="frozen"/>
      <selection pane="topRight" activeCell="C1" sqref="C1"/>
      <selection pane="bottomLeft" activeCell="A3" sqref="A3"/>
      <selection pane="bottomRight" activeCell="Q207" sqref="Q207"/>
    </sheetView>
  </sheetViews>
  <sheetFormatPr defaultColWidth="9.33203125" defaultRowHeight="13.2" x14ac:dyDescent="0.25"/>
  <cols>
    <col min="1" max="1" width="5" style="5" customWidth="1"/>
    <col min="2" max="2" width="45.44140625" style="5" customWidth="1"/>
    <col min="3" max="3" width="14.5546875" style="5" customWidth="1"/>
    <col min="4" max="4" width="15" style="5" hidden="1" customWidth="1"/>
    <col min="5" max="6" width="14.6640625" style="5" hidden="1" customWidth="1"/>
    <col min="7" max="11" width="15.5546875" style="5" hidden="1" customWidth="1"/>
    <col min="12" max="12" width="13.88671875" style="5" hidden="1" customWidth="1"/>
    <col min="13" max="13" width="13.88671875" style="5" customWidth="1"/>
    <col min="14" max="14" width="14.109375" style="5" customWidth="1"/>
    <col min="15" max="15" width="14.109375" style="5" bestFit="1" customWidth="1"/>
    <col min="16" max="16" width="18.6640625" style="142" customWidth="1"/>
    <col min="17" max="17" width="11.88671875" style="5" customWidth="1"/>
    <col min="18" max="18" width="12.88671875" style="5" bestFit="1" customWidth="1"/>
    <col min="19" max="22" width="9.33203125" style="5"/>
    <col min="23" max="23" width="11.33203125" style="5" bestFit="1" customWidth="1"/>
    <col min="24" max="16384" width="9.33203125" style="5"/>
  </cols>
  <sheetData>
    <row r="1" spans="1:18" x14ac:dyDescent="0.25">
      <c r="A1" s="375" t="s">
        <v>0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7"/>
      <c r="P1" s="372"/>
      <c r="Q1" s="372"/>
      <c r="R1" s="372"/>
    </row>
    <row r="2" spans="1:18" ht="13.8" thickBot="1" x14ac:dyDescent="0.3">
      <c r="A2" s="94"/>
      <c r="B2" s="95"/>
      <c r="C2" s="96" t="s">
        <v>1</v>
      </c>
      <c r="D2" s="97">
        <v>46022</v>
      </c>
      <c r="E2" s="97">
        <v>45991</v>
      </c>
      <c r="F2" s="97">
        <v>45961</v>
      </c>
      <c r="G2" s="97">
        <v>45930</v>
      </c>
      <c r="H2" s="97">
        <v>45900</v>
      </c>
      <c r="I2" s="97">
        <v>45869</v>
      </c>
      <c r="J2" s="97">
        <v>45838</v>
      </c>
      <c r="K2" s="97">
        <v>45808</v>
      </c>
      <c r="L2" s="97">
        <v>45777</v>
      </c>
      <c r="M2" s="97">
        <v>45747</v>
      </c>
      <c r="N2" s="97">
        <v>45716</v>
      </c>
      <c r="O2" s="97">
        <v>45688</v>
      </c>
      <c r="P2" s="372"/>
      <c r="Q2" s="372"/>
      <c r="R2" s="372"/>
    </row>
    <row r="3" spans="1:18" ht="13.8" thickBot="1" x14ac:dyDescent="0.3">
      <c r="A3" s="7"/>
      <c r="B3" s="203" t="s">
        <v>2</v>
      </c>
      <c r="C3" s="112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64"/>
    </row>
    <row r="4" spans="1:18" ht="13.8" thickBot="1" x14ac:dyDescent="0.3">
      <c r="A4" s="8"/>
      <c r="B4" s="42" t="s">
        <v>3</v>
      </c>
      <c r="C4" s="41" t="str">
        <f>C2</f>
        <v>Acumulado</v>
      </c>
      <c r="D4" s="49">
        <v>46022</v>
      </c>
      <c r="E4" s="49">
        <v>45991</v>
      </c>
      <c r="F4" s="49">
        <v>45961</v>
      </c>
      <c r="G4" s="49">
        <v>45930</v>
      </c>
      <c r="H4" s="49">
        <v>45900</v>
      </c>
      <c r="I4" s="49">
        <v>45869</v>
      </c>
      <c r="J4" s="49">
        <v>45838</v>
      </c>
      <c r="K4" s="49">
        <v>45808</v>
      </c>
      <c r="L4" s="49">
        <v>45777</v>
      </c>
      <c r="M4" s="49">
        <v>45747</v>
      </c>
      <c r="N4" s="49">
        <v>45716</v>
      </c>
      <c r="O4" s="49">
        <v>45688</v>
      </c>
    </row>
    <row r="5" spans="1:18" x14ac:dyDescent="0.25">
      <c r="A5" s="14">
        <v>2</v>
      </c>
      <c r="B5" s="108" t="s">
        <v>4</v>
      </c>
      <c r="C5" s="214"/>
      <c r="D5" s="194">
        <v>0</v>
      </c>
      <c r="E5" s="194">
        <v>0</v>
      </c>
      <c r="F5" s="194">
        <v>0</v>
      </c>
      <c r="G5" s="194">
        <v>0</v>
      </c>
      <c r="H5" s="194">
        <v>0</v>
      </c>
      <c r="I5" s="194">
        <v>0</v>
      </c>
      <c r="J5" s="194">
        <v>0</v>
      </c>
      <c r="K5" s="194">
        <v>0</v>
      </c>
      <c r="L5" s="194">
        <v>0</v>
      </c>
      <c r="M5" s="194">
        <v>7256.46</v>
      </c>
      <c r="N5" s="194">
        <v>7391.19</v>
      </c>
      <c r="O5" s="194">
        <v>7367.56</v>
      </c>
    </row>
    <row r="6" spans="1:18" x14ac:dyDescent="0.25">
      <c r="A6" s="6">
        <v>243</v>
      </c>
      <c r="B6" s="74" t="s">
        <v>5</v>
      </c>
      <c r="C6" s="27"/>
      <c r="D6" s="195">
        <v>0</v>
      </c>
      <c r="E6" s="195">
        <v>0</v>
      </c>
      <c r="F6" s="195">
        <v>0</v>
      </c>
      <c r="G6" s="195">
        <v>0</v>
      </c>
      <c r="H6" s="195">
        <v>0</v>
      </c>
      <c r="I6" s="195">
        <v>0</v>
      </c>
      <c r="J6" s="195">
        <v>0</v>
      </c>
      <c r="K6" s="195">
        <v>0</v>
      </c>
      <c r="L6" s="195">
        <v>0</v>
      </c>
      <c r="M6" s="195">
        <v>167.66</v>
      </c>
      <c r="N6" s="195">
        <v>164.5</v>
      </c>
      <c r="O6" s="195">
        <v>163.93</v>
      </c>
    </row>
    <row r="7" spans="1:18" x14ac:dyDescent="0.25">
      <c r="A7" s="6">
        <v>345</v>
      </c>
      <c r="B7" s="74" t="s">
        <v>11</v>
      </c>
      <c r="C7" s="27"/>
      <c r="D7" s="195">
        <v>0</v>
      </c>
      <c r="E7" s="195">
        <v>0</v>
      </c>
      <c r="F7" s="195">
        <v>0</v>
      </c>
      <c r="G7" s="195">
        <v>0</v>
      </c>
      <c r="H7" s="195">
        <v>0</v>
      </c>
      <c r="I7" s="195">
        <v>0</v>
      </c>
      <c r="J7" s="195">
        <v>0</v>
      </c>
      <c r="K7" s="195">
        <v>0</v>
      </c>
      <c r="L7" s="195">
        <v>0</v>
      </c>
      <c r="M7" s="195">
        <v>0</v>
      </c>
      <c r="N7" s="195">
        <v>0</v>
      </c>
      <c r="O7" s="195">
        <v>2426687.59</v>
      </c>
    </row>
    <row r="8" spans="1:18" x14ac:dyDescent="0.25">
      <c r="A8" s="28">
        <v>666</v>
      </c>
      <c r="B8" s="74" t="s">
        <v>417</v>
      </c>
      <c r="C8" s="27"/>
      <c r="D8" s="195">
        <v>0</v>
      </c>
      <c r="E8" s="195">
        <v>0</v>
      </c>
      <c r="F8" s="195">
        <v>0</v>
      </c>
      <c r="G8" s="195">
        <v>0</v>
      </c>
      <c r="H8" s="195">
        <v>0</v>
      </c>
      <c r="I8" s="195">
        <v>0</v>
      </c>
      <c r="J8" s="195">
        <v>0</v>
      </c>
      <c r="K8" s="195">
        <v>0</v>
      </c>
      <c r="L8" s="195">
        <v>0</v>
      </c>
      <c r="M8" s="195">
        <v>1974606.4</v>
      </c>
      <c r="N8" s="195">
        <v>2085751.41</v>
      </c>
      <c r="O8" s="195">
        <v>0</v>
      </c>
    </row>
    <row r="9" spans="1:18" x14ac:dyDescent="0.25">
      <c r="A9" s="6">
        <v>256</v>
      </c>
      <c r="B9" s="74" t="s">
        <v>6</v>
      </c>
      <c r="C9" s="27"/>
      <c r="D9" s="195">
        <v>0</v>
      </c>
      <c r="E9" s="195">
        <v>0</v>
      </c>
      <c r="F9" s="195">
        <v>0</v>
      </c>
      <c r="G9" s="195">
        <v>0</v>
      </c>
      <c r="H9" s="195">
        <v>0</v>
      </c>
      <c r="I9" s="195">
        <v>0</v>
      </c>
      <c r="J9" s="195">
        <v>0</v>
      </c>
      <c r="K9" s="195">
        <v>0</v>
      </c>
      <c r="L9" s="195">
        <v>0</v>
      </c>
      <c r="M9" s="195">
        <v>123.9</v>
      </c>
      <c r="N9" s="195">
        <v>203.5</v>
      </c>
      <c r="O9" s="195">
        <v>79</v>
      </c>
    </row>
    <row r="10" spans="1:18" x14ac:dyDescent="0.25">
      <c r="A10" s="6">
        <v>324</v>
      </c>
      <c r="B10" s="74" t="s">
        <v>7</v>
      </c>
      <c r="C10" s="27"/>
      <c r="D10" s="195">
        <v>0</v>
      </c>
      <c r="E10" s="195">
        <v>0</v>
      </c>
      <c r="F10" s="195">
        <v>0</v>
      </c>
      <c r="G10" s="195">
        <v>0</v>
      </c>
      <c r="H10" s="195">
        <v>0</v>
      </c>
      <c r="I10" s="195">
        <v>0</v>
      </c>
      <c r="J10" s="195">
        <v>0</v>
      </c>
      <c r="K10" s="195">
        <v>0</v>
      </c>
      <c r="L10" s="195">
        <v>0</v>
      </c>
      <c r="M10" s="195">
        <v>0</v>
      </c>
      <c r="N10" s="195">
        <v>73.48</v>
      </c>
      <c r="O10" s="195">
        <v>148.97999999999999</v>
      </c>
    </row>
    <row r="11" spans="1:18" x14ac:dyDescent="0.25">
      <c r="A11" s="28">
        <v>360</v>
      </c>
      <c r="B11" s="74" t="s">
        <v>12</v>
      </c>
      <c r="C11" s="27"/>
      <c r="D11" s="195">
        <v>0</v>
      </c>
      <c r="E11" s="195">
        <v>0</v>
      </c>
      <c r="F11" s="195">
        <v>0</v>
      </c>
      <c r="G11" s="195">
        <v>0</v>
      </c>
      <c r="H11" s="195">
        <v>0</v>
      </c>
      <c r="I11" s="195">
        <v>0</v>
      </c>
      <c r="J11" s="195">
        <v>0</v>
      </c>
      <c r="K11" s="195">
        <v>0</v>
      </c>
      <c r="L11" s="195">
        <v>0</v>
      </c>
      <c r="M11" s="195">
        <v>0</v>
      </c>
      <c r="N11" s="195">
        <v>50</v>
      </c>
      <c r="O11" s="195">
        <v>0</v>
      </c>
    </row>
    <row r="12" spans="1:18" x14ac:dyDescent="0.25">
      <c r="A12" s="28">
        <v>414</v>
      </c>
      <c r="B12" s="74" t="s">
        <v>13</v>
      </c>
      <c r="C12" s="27"/>
      <c r="D12" s="195">
        <v>0</v>
      </c>
      <c r="E12" s="195">
        <v>0</v>
      </c>
      <c r="F12" s="195">
        <v>0</v>
      </c>
      <c r="G12" s="195">
        <v>0</v>
      </c>
      <c r="H12" s="195">
        <v>0</v>
      </c>
      <c r="I12" s="195">
        <v>0</v>
      </c>
      <c r="J12" s="195">
        <v>0</v>
      </c>
      <c r="K12" s="195">
        <v>0</v>
      </c>
      <c r="L12" s="195">
        <v>0</v>
      </c>
      <c r="M12" s="195">
        <v>0</v>
      </c>
      <c r="N12" s="195">
        <v>0</v>
      </c>
      <c r="O12" s="195">
        <v>0</v>
      </c>
    </row>
    <row r="13" spans="1:18" x14ac:dyDescent="0.25">
      <c r="A13" s="28">
        <v>478</v>
      </c>
      <c r="B13" s="74" t="s">
        <v>14</v>
      </c>
      <c r="C13" s="27"/>
      <c r="D13" s="195">
        <v>0</v>
      </c>
      <c r="E13" s="195">
        <v>0</v>
      </c>
      <c r="F13" s="195">
        <v>0</v>
      </c>
      <c r="G13" s="195">
        <v>0</v>
      </c>
      <c r="H13" s="195">
        <v>0</v>
      </c>
      <c r="I13" s="195">
        <v>0</v>
      </c>
      <c r="J13" s="195">
        <v>0</v>
      </c>
      <c r="K13" s="195">
        <v>0</v>
      </c>
      <c r="L13" s="195">
        <v>0</v>
      </c>
      <c r="M13" s="195">
        <v>0</v>
      </c>
      <c r="N13" s="195">
        <v>0</v>
      </c>
      <c r="O13" s="195">
        <v>0</v>
      </c>
    </row>
    <row r="14" spans="1:18" x14ac:dyDescent="0.25">
      <c r="A14" s="28">
        <v>493</v>
      </c>
      <c r="B14" s="74" t="s">
        <v>15</v>
      </c>
      <c r="C14" s="27"/>
      <c r="D14" s="195">
        <v>0</v>
      </c>
      <c r="E14" s="195">
        <v>0</v>
      </c>
      <c r="F14" s="195">
        <v>0</v>
      </c>
      <c r="G14" s="195">
        <v>0</v>
      </c>
      <c r="H14" s="195">
        <v>0</v>
      </c>
      <c r="I14" s="195">
        <v>0</v>
      </c>
      <c r="J14" s="195">
        <v>0</v>
      </c>
      <c r="K14" s="195">
        <v>0</v>
      </c>
      <c r="L14" s="195">
        <v>0</v>
      </c>
      <c r="M14" s="195">
        <v>0</v>
      </c>
      <c r="N14" s="195">
        <v>0</v>
      </c>
      <c r="O14" s="195">
        <v>0</v>
      </c>
    </row>
    <row r="15" spans="1:18" x14ac:dyDescent="0.25">
      <c r="A15" s="28">
        <v>500</v>
      </c>
      <c r="B15" s="74" t="s">
        <v>16</v>
      </c>
      <c r="C15" s="27"/>
      <c r="D15" s="195">
        <v>0</v>
      </c>
      <c r="E15" s="195">
        <v>0</v>
      </c>
      <c r="F15" s="195">
        <v>0</v>
      </c>
      <c r="G15" s="195">
        <v>0</v>
      </c>
      <c r="H15" s="195">
        <v>0</v>
      </c>
      <c r="I15" s="195">
        <v>0</v>
      </c>
      <c r="J15" s="195">
        <v>0</v>
      </c>
      <c r="K15" s="195">
        <v>0</v>
      </c>
      <c r="L15" s="195">
        <v>0</v>
      </c>
      <c r="M15" s="195">
        <v>0</v>
      </c>
      <c r="N15" s="195">
        <v>0</v>
      </c>
      <c r="O15" s="195">
        <v>0</v>
      </c>
    </row>
    <row r="16" spans="1:18" x14ac:dyDescent="0.25">
      <c r="A16" s="28">
        <v>518</v>
      </c>
      <c r="B16" s="74" t="s">
        <v>19</v>
      </c>
      <c r="C16" s="27"/>
      <c r="D16" s="195">
        <v>0</v>
      </c>
      <c r="E16" s="195">
        <v>0</v>
      </c>
      <c r="F16" s="195">
        <v>0</v>
      </c>
      <c r="G16" s="195">
        <v>0</v>
      </c>
      <c r="H16" s="195">
        <v>0</v>
      </c>
      <c r="I16" s="195">
        <v>0</v>
      </c>
      <c r="J16" s="195">
        <v>0</v>
      </c>
      <c r="K16" s="195">
        <v>0</v>
      </c>
      <c r="L16" s="195">
        <v>0</v>
      </c>
      <c r="M16" s="195">
        <v>0</v>
      </c>
      <c r="N16" s="195">
        <v>0</v>
      </c>
      <c r="O16" s="195">
        <v>0</v>
      </c>
    </row>
    <row r="17" spans="1:17" x14ac:dyDescent="0.25">
      <c r="A17" s="28">
        <v>528</v>
      </c>
      <c r="B17" s="74" t="s">
        <v>17</v>
      </c>
      <c r="C17" s="27"/>
      <c r="D17" s="195">
        <v>0</v>
      </c>
      <c r="E17" s="195">
        <v>0</v>
      </c>
      <c r="F17" s="195">
        <v>0</v>
      </c>
      <c r="G17" s="195">
        <v>0</v>
      </c>
      <c r="H17" s="195">
        <v>0</v>
      </c>
      <c r="I17" s="195">
        <v>0</v>
      </c>
      <c r="J17" s="195">
        <v>0</v>
      </c>
      <c r="K17" s="195">
        <v>0</v>
      </c>
      <c r="L17" s="195">
        <v>0</v>
      </c>
      <c r="M17" s="195">
        <v>0</v>
      </c>
      <c r="N17" s="195">
        <v>0</v>
      </c>
      <c r="O17" s="195">
        <v>0</v>
      </c>
    </row>
    <row r="18" spans="1:17" x14ac:dyDescent="0.25">
      <c r="A18" s="28">
        <v>529</v>
      </c>
      <c r="B18" s="74" t="s">
        <v>18</v>
      </c>
      <c r="C18" s="27"/>
      <c r="D18" s="195">
        <v>0</v>
      </c>
      <c r="E18" s="195">
        <v>0</v>
      </c>
      <c r="F18" s="195">
        <v>0</v>
      </c>
      <c r="G18" s="195">
        <v>0</v>
      </c>
      <c r="H18" s="195">
        <v>0</v>
      </c>
      <c r="I18" s="195">
        <v>0</v>
      </c>
      <c r="J18" s="195">
        <v>0</v>
      </c>
      <c r="K18" s="195">
        <v>0</v>
      </c>
      <c r="L18" s="195">
        <v>0</v>
      </c>
      <c r="M18" s="195">
        <v>0</v>
      </c>
      <c r="N18" s="195">
        <v>0</v>
      </c>
      <c r="O18" s="195">
        <v>0</v>
      </c>
    </row>
    <row r="19" spans="1:17" x14ac:dyDescent="0.25">
      <c r="A19" s="28">
        <v>535</v>
      </c>
      <c r="B19" s="74" t="s">
        <v>20</v>
      </c>
      <c r="C19" s="27"/>
      <c r="D19" s="195">
        <v>0</v>
      </c>
      <c r="E19" s="195">
        <v>0</v>
      </c>
      <c r="F19" s="195">
        <v>0</v>
      </c>
      <c r="G19" s="195">
        <v>0</v>
      </c>
      <c r="H19" s="195">
        <v>0</v>
      </c>
      <c r="I19" s="195">
        <v>0</v>
      </c>
      <c r="J19" s="195">
        <v>0</v>
      </c>
      <c r="K19" s="195">
        <v>0</v>
      </c>
      <c r="L19" s="195">
        <v>0</v>
      </c>
      <c r="M19" s="195">
        <v>172.6</v>
      </c>
      <c r="N19" s="195">
        <v>97.6</v>
      </c>
      <c r="O19" s="195">
        <v>22.6</v>
      </c>
      <c r="Q19" s="12"/>
    </row>
    <row r="20" spans="1:17" x14ac:dyDescent="0.25">
      <c r="A20" s="28">
        <v>537</v>
      </c>
      <c r="B20" s="74" t="s">
        <v>21</v>
      </c>
      <c r="C20" s="27"/>
      <c r="D20" s="195">
        <v>0</v>
      </c>
      <c r="E20" s="195">
        <v>0</v>
      </c>
      <c r="F20" s="195">
        <v>0</v>
      </c>
      <c r="G20" s="195">
        <v>0</v>
      </c>
      <c r="H20" s="195">
        <v>0</v>
      </c>
      <c r="I20" s="195">
        <v>0</v>
      </c>
      <c r="J20" s="195">
        <v>0</v>
      </c>
      <c r="K20" s="195">
        <v>0</v>
      </c>
      <c r="L20" s="195">
        <v>0</v>
      </c>
      <c r="M20" s="195">
        <v>0</v>
      </c>
      <c r="N20" s="195">
        <v>0</v>
      </c>
      <c r="O20" s="195">
        <v>0</v>
      </c>
      <c r="Q20" s="12"/>
    </row>
    <row r="21" spans="1:17" x14ac:dyDescent="0.25">
      <c r="A21" s="28">
        <v>538</v>
      </c>
      <c r="B21" s="74" t="s">
        <v>22</v>
      </c>
      <c r="C21" s="27"/>
      <c r="D21" s="195">
        <v>0</v>
      </c>
      <c r="E21" s="195">
        <v>0</v>
      </c>
      <c r="F21" s="195">
        <v>0</v>
      </c>
      <c r="G21" s="195">
        <v>0</v>
      </c>
      <c r="H21" s="195">
        <v>0</v>
      </c>
      <c r="I21" s="195">
        <v>0</v>
      </c>
      <c r="J21" s="195">
        <v>0</v>
      </c>
      <c r="K21" s="195">
        <v>0</v>
      </c>
      <c r="L21" s="195">
        <v>0</v>
      </c>
      <c r="M21" s="195">
        <v>0</v>
      </c>
      <c r="N21" s="195">
        <v>0</v>
      </c>
      <c r="O21" s="195">
        <v>0</v>
      </c>
      <c r="Q21" s="12"/>
    </row>
    <row r="22" spans="1:17" x14ac:dyDescent="0.25">
      <c r="A22" s="28">
        <v>540</v>
      </c>
      <c r="B22" s="74" t="s">
        <v>23</v>
      </c>
      <c r="C22" s="27"/>
      <c r="D22" s="195">
        <v>0</v>
      </c>
      <c r="E22" s="195">
        <v>0</v>
      </c>
      <c r="F22" s="195">
        <v>0</v>
      </c>
      <c r="G22" s="195">
        <v>0</v>
      </c>
      <c r="H22" s="195">
        <v>0</v>
      </c>
      <c r="I22" s="195">
        <v>0</v>
      </c>
      <c r="J22" s="195">
        <v>0</v>
      </c>
      <c r="K22" s="195">
        <v>0</v>
      </c>
      <c r="L22" s="195">
        <v>0</v>
      </c>
      <c r="M22" s="195">
        <v>7866.4</v>
      </c>
      <c r="N22" s="195">
        <v>2624.58</v>
      </c>
      <c r="O22" s="195">
        <v>4781.3500000000004</v>
      </c>
      <c r="Q22" s="126"/>
    </row>
    <row r="23" spans="1:17" x14ac:dyDescent="0.25">
      <c r="A23" s="28">
        <v>543</v>
      </c>
      <c r="B23" s="74" t="s">
        <v>24</v>
      </c>
      <c r="C23" s="27"/>
      <c r="D23" s="195">
        <v>0</v>
      </c>
      <c r="E23" s="195">
        <v>0</v>
      </c>
      <c r="F23" s="195">
        <v>0</v>
      </c>
      <c r="G23" s="195">
        <v>0</v>
      </c>
      <c r="H23" s="195">
        <v>0</v>
      </c>
      <c r="I23" s="195">
        <v>0</v>
      </c>
      <c r="J23" s="195">
        <v>0</v>
      </c>
      <c r="K23" s="195">
        <v>0</v>
      </c>
      <c r="L23" s="195">
        <v>0</v>
      </c>
      <c r="M23" s="195">
        <v>0</v>
      </c>
      <c r="N23" s="195">
        <v>0</v>
      </c>
      <c r="O23" s="195">
        <v>0</v>
      </c>
      <c r="Q23" s="126"/>
    </row>
    <row r="24" spans="1:17" x14ac:dyDescent="0.25">
      <c r="A24" s="28">
        <v>574</v>
      </c>
      <c r="B24" s="74" t="s">
        <v>28</v>
      </c>
      <c r="C24" s="27"/>
      <c r="D24" s="195">
        <v>0</v>
      </c>
      <c r="E24" s="195">
        <v>0</v>
      </c>
      <c r="F24" s="195">
        <v>0</v>
      </c>
      <c r="G24" s="195">
        <v>0</v>
      </c>
      <c r="H24" s="195">
        <v>0</v>
      </c>
      <c r="I24" s="195">
        <v>0</v>
      </c>
      <c r="J24" s="195">
        <v>0</v>
      </c>
      <c r="K24" s="195">
        <v>0</v>
      </c>
      <c r="L24" s="195">
        <v>0</v>
      </c>
      <c r="M24" s="195">
        <v>0</v>
      </c>
      <c r="N24" s="195">
        <v>0</v>
      </c>
      <c r="O24" s="195">
        <v>0</v>
      </c>
      <c r="Q24" s="126"/>
    </row>
    <row r="25" spans="1:17" x14ac:dyDescent="0.25">
      <c r="A25" s="28">
        <v>576</v>
      </c>
      <c r="B25" s="74" t="s">
        <v>25</v>
      </c>
      <c r="C25" s="27"/>
      <c r="D25" s="195">
        <v>0</v>
      </c>
      <c r="E25" s="195">
        <v>0</v>
      </c>
      <c r="F25" s="195">
        <v>0</v>
      </c>
      <c r="G25" s="195">
        <v>0</v>
      </c>
      <c r="H25" s="195">
        <v>0</v>
      </c>
      <c r="I25" s="195">
        <v>0</v>
      </c>
      <c r="J25" s="195">
        <v>0</v>
      </c>
      <c r="K25" s="195">
        <v>0</v>
      </c>
      <c r="L25" s="195">
        <v>0</v>
      </c>
      <c r="M25" s="195">
        <v>10684.38</v>
      </c>
      <c r="N25" s="195">
        <v>9948.1200000000008</v>
      </c>
      <c r="O25" s="195">
        <v>11339.88</v>
      </c>
      <c r="Q25" s="126"/>
    </row>
    <row r="26" spans="1:17" x14ac:dyDescent="0.25">
      <c r="A26" s="28">
        <v>578</v>
      </c>
      <c r="B26" s="74" t="s">
        <v>26</v>
      </c>
      <c r="C26" s="27"/>
      <c r="D26" s="195">
        <v>0</v>
      </c>
      <c r="E26" s="195">
        <v>0</v>
      </c>
      <c r="F26" s="195">
        <v>0</v>
      </c>
      <c r="G26" s="195">
        <v>0</v>
      </c>
      <c r="H26" s="195">
        <v>0</v>
      </c>
      <c r="I26" s="195">
        <v>0</v>
      </c>
      <c r="J26" s="195">
        <v>0</v>
      </c>
      <c r="K26" s="195">
        <v>0</v>
      </c>
      <c r="L26" s="195">
        <v>0</v>
      </c>
      <c r="M26" s="195">
        <v>0</v>
      </c>
      <c r="N26" s="195">
        <v>0</v>
      </c>
      <c r="O26" s="195">
        <v>0</v>
      </c>
      <c r="Q26" s="126"/>
    </row>
    <row r="27" spans="1:17" x14ac:dyDescent="0.25">
      <c r="A27" s="28">
        <v>579</v>
      </c>
      <c r="B27" s="74" t="s">
        <v>27</v>
      </c>
      <c r="C27" s="27"/>
      <c r="D27" s="195">
        <v>0</v>
      </c>
      <c r="E27" s="195">
        <v>0</v>
      </c>
      <c r="F27" s="195">
        <v>0</v>
      </c>
      <c r="G27" s="195">
        <v>0</v>
      </c>
      <c r="H27" s="195">
        <v>0</v>
      </c>
      <c r="I27" s="195">
        <v>0</v>
      </c>
      <c r="J27" s="195">
        <v>0</v>
      </c>
      <c r="K27" s="195">
        <v>0</v>
      </c>
      <c r="L27" s="195">
        <v>0</v>
      </c>
      <c r="M27" s="195">
        <v>0</v>
      </c>
      <c r="N27" s="195">
        <v>0</v>
      </c>
      <c r="O27" s="195">
        <v>0</v>
      </c>
      <c r="Q27" s="126"/>
    </row>
    <row r="28" spans="1:17" x14ac:dyDescent="0.25">
      <c r="A28" s="28">
        <v>580</v>
      </c>
      <c r="B28" s="74" t="s">
        <v>29</v>
      </c>
      <c r="C28" s="27"/>
      <c r="D28" s="195">
        <v>0</v>
      </c>
      <c r="E28" s="195">
        <v>0</v>
      </c>
      <c r="F28" s="195">
        <v>0</v>
      </c>
      <c r="G28" s="195">
        <v>0</v>
      </c>
      <c r="H28" s="195">
        <v>0</v>
      </c>
      <c r="I28" s="195">
        <v>0</v>
      </c>
      <c r="J28" s="195">
        <v>0</v>
      </c>
      <c r="K28" s="195">
        <v>0</v>
      </c>
      <c r="L28" s="195">
        <v>0</v>
      </c>
      <c r="M28" s="195">
        <v>0</v>
      </c>
      <c r="N28" s="195">
        <v>0</v>
      </c>
      <c r="O28" s="195">
        <v>0</v>
      </c>
    </row>
    <row r="29" spans="1:17" x14ac:dyDescent="0.25">
      <c r="A29" s="28">
        <v>582</v>
      </c>
      <c r="B29" s="74" t="s">
        <v>30</v>
      </c>
      <c r="C29" s="27"/>
      <c r="D29" s="195">
        <v>0</v>
      </c>
      <c r="E29" s="195">
        <v>0</v>
      </c>
      <c r="F29" s="195">
        <v>0</v>
      </c>
      <c r="G29" s="195">
        <v>0</v>
      </c>
      <c r="H29" s="195">
        <v>0</v>
      </c>
      <c r="I29" s="195">
        <v>0</v>
      </c>
      <c r="J29" s="195">
        <v>0</v>
      </c>
      <c r="K29" s="195">
        <v>0</v>
      </c>
      <c r="L29" s="195">
        <v>0</v>
      </c>
      <c r="M29" s="195">
        <v>0</v>
      </c>
      <c r="N29" s="195">
        <v>0</v>
      </c>
      <c r="O29" s="195">
        <v>0</v>
      </c>
    </row>
    <row r="30" spans="1:17" x14ac:dyDescent="0.25">
      <c r="A30" s="28">
        <v>601</v>
      </c>
      <c r="B30" s="74" t="s">
        <v>31</v>
      </c>
      <c r="C30" s="27"/>
      <c r="D30" s="195">
        <v>0</v>
      </c>
      <c r="E30" s="195">
        <v>0</v>
      </c>
      <c r="F30" s="195">
        <v>0</v>
      </c>
      <c r="G30" s="195">
        <v>0</v>
      </c>
      <c r="H30" s="195">
        <v>0</v>
      </c>
      <c r="I30" s="195">
        <v>0</v>
      </c>
      <c r="J30" s="195">
        <v>0</v>
      </c>
      <c r="K30" s="195">
        <v>0</v>
      </c>
      <c r="L30" s="195">
        <v>0</v>
      </c>
      <c r="M30" s="195">
        <v>147.19999999999999</v>
      </c>
      <c r="N30" s="195">
        <v>216.2</v>
      </c>
      <c r="O30" s="195">
        <v>85.2</v>
      </c>
    </row>
    <row r="31" spans="1:17" x14ac:dyDescent="0.25">
      <c r="A31" s="28">
        <v>602</v>
      </c>
      <c r="B31" s="74" t="s">
        <v>32</v>
      </c>
      <c r="C31" s="27"/>
      <c r="D31" s="195">
        <v>0</v>
      </c>
      <c r="E31" s="195">
        <v>0</v>
      </c>
      <c r="F31" s="195">
        <v>0</v>
      </c>
      <c r="G31" s="195">
        <v>0</v>
      </c>
      <c r="H31" s="195">
        <v>0</v>
      </c>
      <c r="I31" s="195">
        <v>0</v>
      </c>
      <c r="J31" s="195">
        <v>0</v>
      </c>
      <c r="K31" s="195">
        <v>0</v>
      </c>
      <c r="L31" s="195">
        <v>0</v>
      </c>
      <c r="M31" s="195">
        <v>0</v>
      </c>
      <c r="N31" s="195">
        <v>0</v>
      </c>
      <c r="O31" s="195">
        <v>0</v>
      </c>
    </row>
    <row r="32" spans="1:17" x14ac:dyDescent="0.25">
      <c r="A32" s="28">
        <v>603</v>
      </c>
      <c r="B32" s="74" t="s">
        <v>33</v>
      </c>
      <c r="C32" s="27"/>
      <c r="D32" s="195">
        <v>0</v>
      </c>
      <c r="E32" s="195">
        <v>0</v>
      </c>
      <c r="F32" s="195">
        <v>0</v>
      </c>
      <c r="G32" s="195">
        <v>0</v>
      </c>
      <c r="H32" s="195">
        <v>0</v>
      </c>
      <c r="I32" s="195">
        <v>0</v>
      </c>
      <c r="J32" s="195">
        <v>0</v>
      </c>
      <c r="K32" s="195">
        <v>0</v>
      </c>
      <c r="L32" s="195">
        <v>0</v>
      </c>
      <c r="M32" s="195">
        <v>0</v>
      </c>
      <c r="N32" s="195">
        <v>0</v>
      </c>
      <c r="O32" s="195">
        <v>0</v>
      </c>
    </row>
    <row r="33" spans="1:17" x14ac:dyDescent="0.25">
      <c r="A33" s="28">
        <v>604</v>
      </c>
      <c r="B33" s="74" t="s">
        <v>34</v>
      </c>
      <c r="C33" s="27"/>
      <c r="D33" s="195">
        <v>0</v>
      </c>
      <c r="E33" s="195">
        <v>0</v>
      </c>
      <c r="F33" s="195">
        <v>0</v>
      </c>
      <c r="G33" s="195">
        <v>0</v>
      </c>
      <c r="H33" s="195">
        <v>0</v>
      </c>
      <c r="I33" s="195">
        <v>0</v>
      </c>
      <c r="J33" s="195">
        <v>0</v>
      </c>
      <c r="K33" s="195">
        <v>0</v>
      </c>
      <c r="L33" s="195">
        <v>0</v>
      </c>
      <c r="M33" s="195">
        <v>180.75</v>
      </c>
      <c r="N33" s="195">
        <v>249.75</v>
      </c>
      <c r="O33" s="195">
        <v>118.75</v>
      </c>
    </row>
    <row r="34" spans="1:17" x14ac:dyDescent="0.25">
      <c r="A34" s="28">
        <v>627</v>
      </c>
      <c r="B34" s="74" t="s">
        <v>35</v>
      </c>
      <c r="C34" s="27"/>
      <c r="D34" s="195">
        <v>0</v>
      </c>
      <c r="E34" s="195">
        <v>0</v>
      </c>
      <c r="F34" s="195">
        <v>0</v>
      </c>
      <c r="G34" s="195">
        <v>0</v>
      </c>
      <c r="H34" s="195">
        <v>0</v>
      </c>
      <c r="I34" s="195">
        <v>0</v>
      </c>
      <c r="J34" s="195">
        <v>0</v>
      </c>
      <c r="K34" s="195">
        <v>0</v>
      </c>
      <c r="L34" s="195">
        <v>0</v>
      </c>
      <c r="M34" s="195">
        <v>175</v>
      </c>
      <c r="N34" s="195">
        <v>250</v>
      </c>
      <c r="O34" s="195">
        <v>125</v>
      </c>
    </row>
    <row r="35" spans="1:17" x14ac:dyDescent="0.25">
      <c r="A35" s="28">
        <v>628</v>
      </c>
      <c r="B35" s="74" t="s">
        <v>36</v>
      </c>
      <c r="C35" s="27"/>
      <c r="D35" s="195">
        <v>0</v>
      </c>
      <c r="E35" s="195">
        <v>0</v>
      </c>
      <c r="F35" s="195">
        <v>0</v>
      </c>
      <c r="G35" s="195">
        <v>0</v>
      </c>
      <c r="H35" s="195">
        <v>0</v>
      </c>
      <c r="I35" s="195">
        <v>0</v>
      </c>
      <c r="J35" s="195">
        <v>0</v>
      </c>
      <c r="K35" s="195">
        <v>0</v>
      </c>
      <c r="L35" s="195">
        <v>0</v>
      </c>
      <c r="M35" s="195">
        <v>0</v>
      </c>
      <c r="N35" s="195">
        <v>31.15</v>
      </c>
      <c r="O35" s="195">
        <v>106.15</v>
      </c>
    </row>
    <row r="36" spans="1:17" x14ac:dyDescent="0.25">
      <c r="A36" s="28">
        <v>629</v>
      </c>
      <c r="B36" s="74" t="s">
        <v>37</v>
      </c>
      <c r="C36" s="27"/>
      <c r="D36" s="195">
        <v>0</v>
      </c>
      <c r="E36" s="195">
        <v>0</v>
      </c>
      <c r="F36" s="195">
        <v>0</v>
      </c>
      <c r="G36" s="195">
        <v>0</v>
      </c>
      <c r="H36" s="195">
        <v>0</v>
      </c>
      <c r="I36" s="195">
        <v>0</v>
      </c>
      <c r="J36" s="195">
        <v>0</v>
      </c>
      <c r="K36" s="195">
        <v>0</v>
      </c>
      <c r="L36" s="195">
        <v>0</v>
      </c>
      <c r="M36" s="195">
        <v>0</v>
      </c>
      <c r="N36" s="195">
        <v>0</v>
      </c>
      <c r="O36" s="195">
        <v>0</v>
      </c>
    </row>
    <row r="37" spans="1:17" x14ac:dyDescent="0.25">
      <c r="A37" s="6">
        <v>654</v>
      </c>
      <c r="B37" s="74" t="s">
        <v>8</v>
      </c>
      <c r="C37" s="27"/>
      <c r="D37" s="195">
        <v>0</v>
      </c>
      <c r="E37" s="195">
        <v>0</v>
      </c>
      <c r="F37" s="195">
        <v>0</v>
      </c>
      <c r="G37" s="195">
        <v>0</v>
      </c>
      <c r="H37" s="195">
        <v>0</v>
      </c>
      <c r="I37" s="195">
        <v>0</v>
      </c>
      <c r="J37" s="195">
        <v>0</v>
      </c>
      <c r="K37" s="195">
        <v>0</v>
      </c>
      <c r="L37" s="195">
        <v>0</v>
      </c>
      <c r="M37" s="195">
        <v>0</v>
      </c>
      <c r="N37" s="195">
        <v>0</v>
      </c>
      <c r="O37" s="195">
        <v>0</v>
      </c>
    </row>
    <row r="38" spans="1:17" x14ac:dyDescent="0.25">
      <c r="A38" s="6">
        <v>655</v>
      </c>
      <c r="B38" s="74" t="s">
        <v>9</v>
      </c>
      <c r="C38" s="27"/>
      <c r="D38" s="195">
        <v>0</v>
      </c>
      <c r="E38" s="195">
        <v>0</v>
      </c>
      <c r="F38" s="195">
        <v>0</v>
      </c>
      <c r="G38" s="195">
        <v>0</v>
      </c>
      <c r="H38" s="195">
        <v>0</v>
      </c>
      <c r="I38" s="195">
        <v>0</v>
      </c>
      <c r="J38" s="195">
        <v>0</v>
      </c>
      <c r="K38" s="195">
        <v>0</v>
      </c>
      <c r="L38" s="195">
        <v>0</v>
      </c>
      <c r="M38" s="195">
        <v>0</v>
      </c>
      <c r="N38" s="195">
        <v>0</v>
      </c>
      <c r="O38" s="195">
        <v>0</v>
      </c>
    </row>
    <row r="39" spans="1:17" x14ac:dyDescent="0.25">
      <c r="A39" s="6">
        <v>656</v>
      </c>
      <c r="B39" s="74" t="s">
        <v>10</v>
      </c>
      <c r="C39" s="27"/>
      <c r="D39" s="195">
        <v>0</v>
      </c>
      <c r="E39" s="195">
        <v>0</v>
      </c>
      <c r="F39" s="195">
        <v>0</v>
      </c>
      <c r="G39" s="195">
        <v>0</v>
      </c>
      <c r="H39" s="195">
        <v>0</v>
      </c>
      <c r="I39" s="195">
        <v>0</v>
      </c>
      <c r="J39" s="195">
        <v>0</v>
      </c>
      <c r="K39" s="195">
        <v>0</v>
      </c>
      <c r="L39" s="195">
        <v>0</v>
      </c>
      <c r="M39" s="195">
        <v>0</v>
      </c>
      <c r="N39" s="195">
        <v>0</v>
      </c>
      <c r="O39" s="195">
        <v>0</v>
      </c>
    </row>
    <row r="40" spans="1:17" x14ac:dyDescent="0.25">
      <c r="A40" s="28" t="s">
        <v>442</v>
      </c>
      <c r="B40" s="74" t="s">
        <v>443</v>
      </c>
      <c r="C40" s="27"/>
      <c r="D40" s="195">
        <v>0</v>
      </c>
      <c r="E40" s="195">
        <v>0</v>
      </c>
      <c r="F40" s="195">
        <v>0</v>
      </c>
      <c r="G40" s="195">
        <v>0</v>
      </c>
      <c r="H40" s="195">
        <v>0</v>
      </c>
      <c r="I40" s="195">
        <v>0</v>
      </c>
      <c r="J40" s="195">
        <v>0</v>
      </c>
      <c r="K40" s="195">
        <v>0</v>
      </c>
      <c r="L40" s="195">
        <v>0</v>
      </c>
      <c r="M40" s="195">
        <v>0</v>
      </c>
      <c r="N40" s="195">
        <v>50.25</v>
      </c>
      <c r="O40" s="195">
        <v>119.25</v>
      </c>
    </row>
    <row r="41" spans="1:17" x14ac:dyDescent="0.25">
      <c r="A41" s="28" t="s">
        <v>444</v>
      </c>
      <c r="B41" s="74" t="s">
        <v>445</v>
      </c>
      <c r="C41" s="27"/>
      <c r="D41" s="195">
        <v>0</v>
      </c>
      <c r="E41" s="195">
        <v>0</v>
      </c>
      <c r="F41" s="195">
        <v>0</v>
      </c>
      <c r="G41" s="195">
        <v>0</v>
      </c>
      <c r="H41" s="195">
        <v>0</v>
      </c>
      <c r="I41" s="195">
        <v>0</v>
      </c>
      <c r="J41" s="195">
        <v>0</v>
      </c>
      <c r="K41" s="195">
        <v>0</v>
      </c>
      <c r="L41" s="195">
        <v>0</v>
      </c>
      <c r="M41" s="195">
        <v>177.1</v>
      </c>
      <c r="N41" s="195">
        <v>246.1</v>
      </c>
      <c r="O41" s="195">
        <v>115.1</v>
      </c>
    </row>
    <row r="42" spans="1:17" x14ac:dyDescent="0.25">
      <c r="A42" s="28" t="s">
        <v>565</v>
      </c>
      <c r="B42" s="74" t="s">
        <v>566</v>
      </c>
      <c r="C42" s="27"/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5">
        <v>0</v>
      </c>
      <c r="L42" s="195">
        <v>0</v>
      </c>
      <c r="M42" s="195">
        <v>3245.73</v>
      </c>
      <c r="N42" s="195">
        <v>7086.82</v>
      </c>
      <c r="O42" s="195">
        <v>30123.3</v>
      </c>
    </row>
    <row r="43" spans="1:17" x14ac:dyDescent="0.25">
      <c r="A43" s="28">
        <v>749</v>
      </c>
      <c r="B43" s="74" t="s">
        <v>606</v>
      </c>
      <c r="C43" s="27"/>
      <c r="D43" s="195">
        <v>0</v>
      </c>
      <c r="E43" s="195">
        <v>0</v>
      </c>
      <c r="F43" s="195">
        <v>0</v>
      </c>
      <c r="G43" s="195">
        <v>0</v>
      </c>
      <c r="H43" s="195">
        <v>0</v>
      </c>
      <c r="I43" s="195">
        <v>0</v>
      </c>
      <c r="J43" s="195">
        <v>0</v>
      </c>
      <c r="K43" s="195">
        <v>0</v>
      </c>
      <c r="L43" s="195">
        <v>0</v>
      </c>
      <c r="M43" s="195">
        <v>0</v>
      </c>
      <c r="N43" s="195">
        <v>0</v>
      </c>
      <c r="O43" s="195">
        <v>0</v>
      </c>
    </row>
    <row r="44" spans="1:17" x14ac:dyDescent="0.25">
      <c r="A44" s="28" t="s">
        <v>567</v>
      </c>
      <c r="B44" s="74" t="s">
        <v>568</v>
      </c>
      <c r="C44" s="27"/>
      <c r="D44" s="195">
        <v>0</v>
      </c>
      <c r="E44" s="195">
        <v>0</v>
      </c>
      <c r="F44" s="195">
        <v>0</v>
      </c>
      <c r="G44" s="195">
        <v>0</v>
      </c>
      <c r="H44" s="195">
        <v>0</v>
      </c>
      <c r="I44" s="195">
        <v>0</v>
      </c>
      <c r="J44" s="195">
        <v>0</v>
      </c>
      <c r="K44" s="195">
        <v>0</v>
      </c>
      <c r="L44" s="195">
        <v>0</v>
      </c>
      <c r="M44" s="195">
        <v>1449.91</v>
      </c>
      <c r="N44" s="195">
        <v>12154.9</v>
      </c>
      <c r="O44" s="195">
        <v>21744.44</v>
      </c>
    </row>
    <row r="45" spans="1:17" x14ac:dyDescent="0.25">
      <c r="A45" s="28" t="s">
        <v>569</v>
      </c>
      <c r="B45" s="74" t="s">
        <v>570</v>
      </c>
      <c r="C45" s="27"/>
      <c r="D45" s="195">
        <v>0</v>
      </c>
      <c r="E45" s="195">
        <v>0</v>
      </c>
      <c r="F45" s="195">
        <v>0</v>
      </c>
      <c r="G45" s="195">
        <v>0</v>
      </c>
      <c r="H45" s="195">
        <v>0</v>
      </c>
      <c r="I45" s="195">
        <v>0</v>
      </c>
      <c r="J45" s="195">
        <v>0</v>
      </c>
      <c r="K45" s="195">
        <v>0</v>
      </c>
      <c r="L45" s="195">
        <v>0</v>
      </c>
      <c r="M45" s="195">
        <v>8.15</v>
      </c>
      <c r="N45" s="195">
        <v>81.150000000000006</v>
      </c>
      <c r="O45" s="195">
        <v>96.65</v>
      </c>
    </row>
    <row r="46" spans="1:17" x14ac:dyDescent="0.25">
      <c r="A46" s="28">
        <v>412</v>
      </c>
      <c r="B46" s="74" t="s">
        <v>528</v>
      </c>
      <c r="C46" s="27"/>
      <c r="D46" s="195">
        <v>0</v>
      </c>
      <c r="E46" s="195">
        <v>0</v>
      </c>
      <c r="F46" s="195">
        <v>0</v>
      </c>
      <c r="G46" s="195">
        <v>0</v>
      </c>
      <c r="H46" s="195">
        <v>0</v>
      </c>
      <c r="I46" s="195">
        <v>0</v>
      </c>
      <c r="J46" s="195">
        <v>0</v>
      </c>
      <c r="K46" s="195">
        <v>0</v>
      </c>
      <c r="L46" s="195">
        <v>0</v>
      </c>
      <c r="M46" s="195">
        <v>0</v>
      </c>
      <c r="N46" s="195">
        <v>0</v>
      </c>
      <c r="O46" s="195">
        <v>0</v>
      </c>
    </row>
    <row r="47" spans="1:17" x14ac:dyDescent="0.25">
      <c r="A47" s="28">
        <v>477</v>
      </c>
      <c r="B47" s="74" t="s">
        <v>529</v>
      </c>
      <c r="C47" s="27"/>
      <c r="D47" s="195">
        <v>0</v>
      </c>
      <c r="E47" s="195">
        <v>0</v>
      </c>
      <c r="F47" s="195">
        <v>0</v>
      </c>
      <c r="G47" s="195">
        <v>0</v>
      </c>
      <c r="H47" s="195">
        <v>0</v>
      </c>
      <c r="I47" s="195">
        <v>0</v>
      </c>
      <c r="J47" s="195">
        <v>0</v>
      </c>
      <c r="K47" s="195">
        <v>0</v>
      </c>
      <c r="L47" s="195">
        <v>0</v>
      </c>
      <c r="M47" s="195">
        <v>65949.919999999998</v>
      </c>
      <c r="N47" s="195">
        <v>85447.78</v>
      </c>
      <c r="O47" s="195">
        <v>69996</v>
      </c>
    </row>
    <row r="48" spans="1:17" x14ac:dyDescent="0.25">
      <c r="A48" s="28">
        <v>534</v>
      </c>
      <c r="B48" s="74" t="s">
        <v>530</v>
      </c>
      <c r="C48" s="27"/>
      <c r="D48" s="195">
        <v>0</v>
      </c>
      <c r="E48" s="195">
        <v>0</v>
      </c>
      <c r="F48" s="195">
        <v>0</v>
      </c>
      <c r="G48" s="195">
        <v>0</v>
      </c>
      <c r="H48" s="195">
        <v>0</v>
      </c>
      <c r="I48" s="195">
        <v>0</v>
      </c>
      <c r="J48" s="195">
        <v>0</v>
      </c>
      <c r="K48" s="195">
        <v>0</v>
      </c>
      <c r="L48" s="195">
        <v>0</v>
      </c>
      <c r="M48" s="195">
        <v>0</v>
      </c>
      <c r="N48" s="195">
        <v>0</v>
      </c>
      <c r="O48" s="195">
        <v>0</v>
      </c>
      <c r="Q48" s="12"/>
    </row>
    <row r="49" spans="1:15" x14ac:dyDescent="0.25">
      <c r="A49" s="28">
        <v>583</v>
      </c>
      <c r="B49" s="74" t="s">
        <v>531</v>
      </c>
      <c r="C49" s="27"/>
      <c r="D49" s="195">
        <v>0</v>
      </c>
      <c r="E49" s="195">
        <v>0</v>
      </c>
      <c r="F49" s="195">
        <v>0</v>
      </c>
      <c r="G49" s="195">
        <v>0</v>
      </c>
      <c r="H49" s="195">
        <v>0</v>
      </c>
      <c r="I49" s="195">
        <v>0</v>
      </c>
      <c r="J49" s="195">
        <v>0</v>
      </c>
      <c r="K49" s="195">
        <v>0</v>
      </c>
      <c r="L49" s="195">
        <v>0</v>
      </c>
      <c r="M49" s="195">
        <v>0</v>
      </c>
      <c r="N49" s="195">
        <v>0</v>
      </c>
      <c r="O49" s="195">
        <v>0</v>
      </c>
    </row>
    <row r="50" spans="1:15" x14ac:dyDescent="0.25">
      <c r="A50" s="28">
        <v>581</v>
      </c>
      <c r="B50" s="74" t="s">
        <v>532</v>
      </c>
      <c r="C50" s="27"/>
      <c r="D50" s="195">
        <v>0</v>
      </c>
      <c r="E50" s="195">
        <v>0</v>
      </c>
      <c r="F50" s="195">
        <v>0</v>
      </c>
      <c r="G50" s="195">
        <v>0</v>
      </c>
      <c r="H50" s="195">
        <v>0</v>
      </c>
      <c r="I50" s="195">
        <v>0</v>
      </c>
      <c r="J50" s="195">
        <v>0</v>
      </c>
      <c r="K50" s="195">
        <v>0</v>
      </c>
      <c r="L50" s="195">
        <v>0</v>
      </c>
      <c r="M50" s="195">
        <v>0</v>
      </c>
      <c r="N50" s="195">
        <v>0</v>
      </c>
      <c r="O50" s="195">
        <v>0</v>
      </c>
    </row>
    <row r="51" spans="1:15" x14ac:dyDescent="0.25">
      <c r="A51" s="28">
        <v>616</v>
      </c>
      <c r="B51" s="74" t="s">
        <v>533</v>
      </c>
      <c r="C51" s="27"/>
      <c r="D51" s="195">
        <v>0</v>
      </c>
      <c r="E51" s="195">
        <v>0</v>
      </c>
      <c r="F51" s="195">
        <v>0</v>
      </c>
      <c r="G51" s="195">
        <v>0</v>
      </c>
      <c r="H51" s="195">
        <v>0</v>
      </c>
      <c r="I51" s="195">
        <v>0</v>
      </c>
      <c r="J51" s="195">
        <v>0</v>
      </c>
      <c r="K51" s="195">
        <v>0</v>
      </c>
      <c r="L51" s="195">
        <v>0</v>
      </c>
      <c r="M51" s="195">
        <v>352950.86</v>
      </c>
      <c r="N51" s="195">
        <v>453298.27</v>
      </c>
      <c r="O51" s="195">
        <v>199996</v>
      </c>
    </row>
    <row r="52" spans="1:15" x14ac:dyDescent="0.25">
      <c r="A52" s="28" t="s">
        <v>446</v>
      </c>
      <c r="B52" s="74" t="s">
        <v>534</v>
      </c>
      <c r="C52" s="27"/>
      <c r="D52" s="195">
        <v>0</v>
      </c>
      <c r="E52" s="195">
        <v>0</v>
      </c>
      <c r="F52" s="195">
        <v>0</v>
      </c>
      <c r="G52" s="195">
        <v>0</v>
      </c>
      <c r="H52" s="195">
        <v>0</v>
      </c>
      <c r="I52" s="195">
        <v>0</v>
      </c>
      <c r="J52" s="195">
        <v>0</v>
      </c>
      <c r="K52" s="195">
        <v>0</v>
      </c>
      <c r="L52" s="195">
        <v>0</v>
      </c>
      <c r="M52" s="195">
        <v>0</v>
      </c>
      <c r="N52" s="195">
        <v>0</v>
      </c>
      <c r="O52" s="195">
        <v>0</v>
      </c>
    </row>
    <row r="53" spans="1:15" x14ac:dyDescent="0.25">
      <c r="A53" s="28">
        <v>681</v>
      </c>
      <c r="B53" s="74" t="s">
        <v>535</v>
      </c>
      <c r="C53" s="27"/>
      <c r="D53" s="195">
        <v>0</v>
      </c>
      <c r="E53" s="195">
        <v>0</v>
      </c>
      <c r="F53" s="195">
        <v>0</v>
      </c>
      <c r="G53" s="195">
        <v>0</v>
      </c>
      <c r="H53" s="195">
        <v>0</v>
      </c>
      <c r="I53" s="195">
        <v>0</v>
      </c>
      <c r="J53" s="195">
        <v>0</v>
      </c>
      <c r="K53" s="195">
        <v>0</v>
      </c>
      <c r="L53" s="195">
        <v>0</v>
      </c>
      <c r="M53" s="195">
        <v>0</v>
      </c>
      <c r="N53" s="195">
        <v>0</v>
      </c>
      <c r="O53" s="195">
        <v>0</v>
      </c>
    </row>
    <row r="54" spans="1:15" x14ac:dyDescent="0.25">
      <c r="A54" s="28" t="s">
        <v>571</v>
      </c>
      <c r="B54" s="74" t="s">
        <v>572</v>
      </c>
      <c r="C54" s="27"/>
      <c r="D54" s="195">
        <v>0</v>
      </c>
      <c r="E54" s="195">
        <v>0</v>
      </c>
      <c r="F54" s="195">
        <v>0</v>
      </c>
      <c r="G54" s="195">
        <v>0</v>
      </c>
      <c r="H54" s="195">
        <v>0</v>
      </c>
      <c r="I54" s="195">
        <v>0</v>
      </c>
      <c r="J54" s="195">
        <v>0</v>
      </c>
      <c r="K54" s="195">
        <v>0</v>
      </c>
      <c r="L54" s="195">
        <v>0</v>
      </c>
      <c r="M54" s="195">
        <v>52.71</v>
      </c>
      <c r="N54" s="195">
        <v>52.41</v>
      </c>
      <c r="O54" s="195">
        <v>52.06</v>
      </c>
    </row>
    <row r="55" spans="1:15" x14ac:dyDescent="0.25">
      <c r="A55" s="28" t="s">
        <v>573</v>
      </c>
      <c r="B55" s="74" t="s">
        <v>574</v>
      </c>
      <c r="C55" s="27"/>
      <c r="D55" s="195">
        <v>0</v>
      </c>
      <c r="E55" s="195">
        <v>0</v>
      </c>
      <c r="F55" s="195">
        <v>0</v>
      </c>
      <c r="G55" s="195">
        <v>0</v>
      </c>
      <c r="H55" s="195">
        <v>0</v>
      </c>
      <c r="I55" s="195">
        <v>0</v>
      </c>
      <c r="J55" s="195">
        <v>0</v>
      </c>
      <c r="K55" s="195">
        <v>0</v>
      </c>
      <c r="L55" s="195">
        <v>0</v>
      </c>
      <c r="M55" s="195">
        <v>226699.03</v>
      </c>
      <c r="N55" s="195">
        <v>270323.74</v>
      </c>
      <c r="O55" s="195">
        <v>568561.34</v>
      </c>
    </row>
    <row r="56" spans="1:15" x14ac:dyDescent="0.25">
      <c r="A56" s="28" t="s">
        <v>575</v>
      </c>
      <c r="B56" s="74" t="s">
        <v>576</v>
      </c>
      <c r="C56" s="27"/>
      <c r="D56" s="195">
        <v>0</v>
      </c>
      <c r="E56" s="195">
        <v>0</v>
      </c>
      <c r="F56" s="195">
        <v>0</v>
      </c>
      <c r="G56" s="195">
        <v>0</v>
      </c>
      <c r="H56" s="195">
        <v>0</v>
      </c>
      <c r="I56" s="195">
        <v>0</v>
      </c>
      <c r="J56" s="195">
        <v>0</v>
      </c>
      <c r="K56" s="195">
        <v>0</v>
      </c>
      <c r="L56" s="195">
        <v>0</v>
      </c>
      <c r="M56" s="195">
        <v>58.72</v>
      </c>
      <c r="N56" s="195">
        <v>58.38</v>
      </c>
      <c r="O56" s="195">
        <v>5062</v>
      </c>
    </row>
    <row r="57" spans="1:15" x14ac:dyDescent="0.25">
      <c r="A57" s="28" t="s">
        <v>577</v>
      </c>
      <c r="B57" s="74" t="s">
        <v>578</v>
      </c>
      <c r="C57" s="27"/>
      <c r="D57" s="195">
        <v>0</v>
      </c>
      <c r="E57" s="195">
        <v>0</v>
      </c>
      <c r="F57" s="195">
        <v>0</v>
      </c>
      <c r="G57" s="195">
        <v>0</v>
      </c>
      <c r="H57" s="195">
        <v>0</v>
      </c>
      <c r="I57" s="195">
        <v>0</v>
      </c>
      <c r="J57" s="195">
        <v>0</v>
      </c>
      <c r="K57" s="195">
        <v>0</v>
      </c>
      <c r="L57" s="195">
        <v>0</v>
      </c>
      <c r="M57" s="195">
        <v>52.71</v>
      </c>
      <c r="N57" s="195">
        <v>52.41</v>
      </c>
      <c r="O57" s="195">
        <v>52.06</v>
      </c>
    </row>
    <row r="58" spans="1:15" x14ac:dyDescent="0.25">
      <c r="A58" s="28">
        <v>697</v>
      </c>
      <c r="B58" s="74" t="s">
        <v>526</v>
      </c>
      <c r="C58" s="27"/>
      <c r="D58" s="195">
        <v>0</v>
      </c>
      <c r="E58" s="195">
        <v>0</v>
      </c>
      <c r="F58" s="195">
        <v>0</v>
      </c>
      <c r="G58" s="195">
        <v>0</v>
      </c>
      <c r="H58" s="195">
        <v>0</v>
      </c>
      <c r="I58" s="195">
        <v>0</v>
      </c>
      <c r="J58" s="195">
        <v>0</v>
      </c>
      <c r="K58" s="195">
        <v>0</v>
      </c>
      <c r="L58" s="195">
        <v>0</v>
      </c>
      <c r="M58" s="195">
        <v>177060.26</v>
      </c>
      <c r="N58" s="195">
        <v>209111.73</v>
      </c>
      <c r="O58" s="195">
        <v>37049.01</v>
      </c>
    </row>
    <row r="59" spans="1:15" x14ac:dyDescent="0.25">
      <c r="A59" s="28">
        <v>717</v>
      </c>
      <c r="B59" s="74" t="s">
        <v>540</v>
      </c>
      <c r="C59" s="27"/>
      <c r="D59" s="195">
        <v>0</v>
      </c>
      <c r="E59" s="195">
        <v>0</v>
      </c>
      <c r="F59" s="195">
        <v>0</v>
      </c>
      <c r="G59" s="195">
        <v>0</v>
      </c>
      <c r="H59" s="195">
        <v>0</v>
      </c>
      <c r="I59" s="195">
        <v>0</v>
      </c>
      <c r="J59" s="195">
        <v>0</v>
      </c>
      <c r="K59" s="195">
        <v>0</v>
      </c>
      <c r="L59" s="195">
        <v>0</v>
      </c>
      <c r="M59" s="195">
        <v>8856.8799999999992</v>
      </c>
      <c r="N59" s="195">
        <v>8793.1200000000008</v>
      </c>
      <c r="O59" s="195">
        <v>8728.56</v>
      </c>
    </row>
    <row r="60" spans="1:15" x14ac:dyDescent="0.25">
      <c r="A60" s="6">
        <v>741</v>
      </c>
      <c r="B60" s="74" t="s">
        <v>558</v>
      </c>
      <c r="C60" s="27"/>
      <c r="D60" s="195">
        <v>0</v>
      </c>
      <c r="E60" s="195">
        <v>0</v>
      </c>
      <c r="F60" s="195">
        <v>0</v>
      </c>
      <c r="G60" s="195">
        <v>0</v>
      </c>
      <c r="H60" s="195">
        <v>0</v>
      </c>
      <c r="I60" s="195">
        <v>0</v>
      </c>
      <c r="J60" s="195">
        <v>0</v>
      </c>
      <c r="K60" s="195">
        <v>0</v>
      </c>
      <c r="L60" s="195">
        <v>0</v>
      </c>
      <c r="M60" s="195">
        <v>0</v>
      </c>
      <c r="N60" s="195">
        <v>0</v>
      </c>
      <c r="O60" s="195">
        <v>0</v>
      </c>
    </row>
    <row r="61" spans="1:15" ht="12" customHeight="1" x14ac:dyDescent="0.25">
      <c r="A61" s="28">
        <v>674</v>
      </c>
      <c r="B61" s="74" t="s">
        <v>431</v>
      </c>
      <c r="C61" s="27"/>
      <c r="D61" s="195">
        <v>0</v>
      </c>
      <c r="E61" s="195">
        <v>0</v>
      </c>
      <c r="F61" s="195">
        <v>0</v>
      </c>
      <c r="G61" s="195">
        <v>0</v>
      </c>
      <c r="H61" s="195">
        <v>0</v>
      </c>
      <c r="I61" s="195">
        <v>0</v>
      </c>
      <c r="J61" s="195">
        <v>0</v>
      </c>
      <c r="K61" s="195">
        <v>0</v>
      </c>
      <c r="L61" s="195">
        <v>0</v>
      </c>
      <c r="M61" s="195">
        <v>7067.66</v>
      </c>
      <c r="N61" s="195">
        <v>7010.88</v>
      </c>
      <c r="O61" s="195">
        <v>6953.32</v>
      </c>
    </row>
    <row r="62" spans="1:15" ht="12" customHeight="1" x14ac:dyDescent="0.25">
      <c r="A62" s="28">
        <v>675</v>
      </c>
      <c r="B62" s="74" t="s">
        <v>432</v>
      </c>
      <c r="C62" s="27"/>
      <c r="D62" s="195">
        <v>0</v>
      </c>
      <c r="E62" s="195">
        <v>0</v>
      </c>
      <c r="F62" s="195">
        <v>0</v>
      </c>
      <c r="G62" s="195">
        <v>0</v>
      </c>
      <c r="H62" s="195">
        <v>0</v>
      </c>
      <c r="I62" s="195">
        <v>0</v>
      </c>
      <c r="J62" s="195">
        <v>0</v>
      </c>
      <c r="K62" s="195">
        <v>0</v>
      </c>
      <c r="L62" s="195">
        <v>0</v>
      </c>
      <c r="M62" s="195">
        <v>39.340000000000003</v>
      </c>
      <c r="N62" s="195">
        <v>39.020000000000003</v>
      </c>
      <c r="O62" s="195">
        <v>38.700000000000003</v>
      </c>
    </row>
    <row r="63" spans="1:15" ht="12" customHeight="1" x14ac:dyDescent="0.25">
      <c r="A63" s="28">
        <v>676</v>
      </c>
      <c r="B63" s="74" t="s">
        <v>433</v>
      </c>
      <c r="C63" s="27"/>
      <c r="D63" s="195">
        <v>0</v>
      </c>
      <c r="E63" s="195">
        <v>0</v>
      </c>
      <c r="F63" s="195">
        <v>0</v>
      </c>
      <c r="G63" s="195">
        <v>0</v>
      </c>
      <c r="H63" s="195">
        <v>0</v>
      </c>
      <c r="I63" s="195">
        <v>0</v>
      </c>
      <c r="J63" s="195">
        <v>0</v>
      </c>
      <c r="K63" s="195">
        <v>0</v>
      </c>
      <c r="L63" s="195">
        <v>0</v>
      </c>
      <c r="M63" s="195">
        <v>826.09</v>
      </c>
      <c r="N63" s="195">
        <v>819.46</v>
      </c>
      <c r="O63" s="195">
        <v>812.73</v>
      </c>
    </row>
    <row r="64" spans="1:15" ht="12" customHeight="1" x14ac:dyDescent="0.25">
      <c r="A64" s="28">
        <v>664</v>
      </c>
      <c r="B64" s="74" t="s">
        <v>421</v>
      </c>
      <c r="C64" s="27"/>
      <c r="D64" s="195">
        <v>0</v>
      </c>
      <c r="E64" s="195">
        <v>0</v>
      </c>
      <c r="F64" s="195">
        <v>0</v>
      </c>
      <c r="G64" s="195">
        <v>0</v>
      </c>
      <c r="H64" s="195">
        <v>0</v>
      </c>
      <c r="I64" s="195">
        <v>0</v>
      </c>
      <c r="J64" s="195">
        <v>0</v>
      </c>
      <c r="K64" s="195">
        <v>0</v>
      </c>
      <c r="L64" s="195">
        <v>0</v>
      </c>
      <c r="M64" s="195">
        <v>0</v>
      </c>
      <c r="N64" s="195">
        <v>0</v>
      </c>
      <c r="O64" s="195">
        <v>0</v>
      </c>
    </row>
    <row r="65" spans="1:15" x14ac:dyDescent="0.25">
      <c r="A65" s="28">
        <v>560</v>
      </c>
      <c r="B65" s="74" t="s">
        <v>479</v>
      </c>
      <c r="C65" s="27"/>
      <c r="D65" s="195">
        <v>0</v>
      </c>
      <c r="E65" s="195">
        <v>0</v>
      </c>
      <c r="F65" s="195">
        <v>0</v>
      </c>
      <c r="G65" s="195">
        <v>0</v>
      </c>
      <c r="H65" s="195">
        <v>0</v>
      </c>
      <c r="I65" s="195">
        <v>0</v>
      </c>
      <c r="J65" s="195">
        <v>0</v>
      </c>
      <c r="K65" s="195">
        <v>0</v>
      </c>
      <c r="L65" s="195">
        <v>0</v>
      </c>
      <c r="M65" s="195">
        <v>0</v>
      </c>
      <c r="N65" s="195">
        <v>0</v>
      </c>
      <c r="O65" s="195">
        <v>0</v>
      </c>
    </row>
    <row r="66" spans="1:15" x14ac:dyDescent="0.25">
      <c r="A66" s="28">
        <v>559</v>
      </c>
      <c r="B66" s="74" t="s">
        <v>39</v>
      </c>
      <c r="C66" s="27"/>
      <c r="D66" s="195">
        <v>0</v>
      </c>
      <c r="E66" s="195">
        <v>0</v>
      </c>
      <c r="F66" s="195">
        <v>0</v>
      </c>
      <c r="G66" s="195">
        <v>0</v>
      </c>
      <c r="H66" s="195">
        <v>0</v>
      </c>
      <c r="I66" s="195">
        <v>0</v>
      </c>
      <c r="J66" s="195">
        <v>0</v>
      </c>
      <c r="K66" s="195">
        <v>0</v>
      </c>
      <c r="L66" s="195">
        <v>0</v>
      </c>
      <c r="M66" s="195">
        <v>0</v>
      </c>
      <c r="N66" s="195">
        <v>0</v>
      </c>
      <c r="O66" s="195">
        <v>0</v>
      </c>
    </row>
    <row r="67" spans="1:15" hidden="1" x14ac:dyDescent="0.25">
      <c r="A67" s="28">
        <v>586</v>
      </c>
      <c r="B67" s="74" t="s">
        <v>40</v>
      </c>
      <c r="C67" s="27"/>
      <c r="D67" s="195">
        <v>0</v>
      </c>
      <c r="E67" s="195">
        <v>0</v>
      </c>
      <c r="F67" s="195">
        <v>0</v>
      </c>
      <c r="G67" s="195">
        <v>0</v>
      </c>
      <c r="H67" s="195">
        <v>0</v>
      </c>
      <c r="I67" s="195">
        <v>0</v>
      </c>
      <c r="J67" s="195">
        <v>0</v>
      </c>
      <c r="K67" s="195">
        <v>0</v>
      </c>
      <c r="L67" s="195">
        <v>0</v>
      </c>
      <c r="M67" s="195">
        <v>0</v>
      </c>
      <c r="N67" s="195">
        <v>0</v>
      </c>
      <c r="O67" s="195">
        <v>0</v>
      </c>
    </row>
    <row r="68" spans="1:15" hidden="1" x14ac:dyDescent="0.25">
      <c r="A68" s="28">
        <v>557</v>
      </c>
      <c r="B68" s="74" t="s">
        <v>41</v>
      </c>
      <c r="C68" s="27"/>
      <c r="D68" s="195">
        <v>0</v>
      </c>
      <c r="E68" s="195">
        <v>0</v>
      </c>
      <c r="F68" s="195">
        <v>0</v>
      </c>
      <c r="G68" s="195">
        <v>0</v>
      </c>
      <c r="H68" s="195">
        <v>0</v>
      </c>
      <c r="I68" s="195">
        <v>0</v>
      </c>
      <c r="J68" s="195">
        <v>0</v>
      </c>
      <c r="K68" s="195">
        <v>0</v>
      </c>
      <c r="L68" s="195">
        <v>0</v>
      </c>
      <c r="M68" s="195">
        <v>0</v>
      </c>
      <c r="N68" s="195">
        <v>0</v>
      </c>
      <c r="O68" s="195">
        <v>0</v>
      </c>
    </row>
    <row r="69" spans="1:15" hidden="1" x14ac:dyDescent="0.25">
      <c r="A69" s="28">
        <v>584</v>
      </c>
      <c r="B69" s="74" t="s">
        <v>38</v>
      </c>
      <c r="C69" s="27"/>
      <c r="D69" s="195">
        <v>0</v>
      </c>
      <c r="E69" s="195">
        <v>0</v>
      </c>
      <c r="F69" s="195">
        <v>0</v>
      </c>
      <c r="G69" s="195">
        <v>0</v>
      </c>
      <c r="H69" s="195">
        <v>0</v>
      </c>
      <c r="I69" s="195">
        <v>0</v>
      </c>
      <c r="J69" s="195">
        <v>0</v>
      </c>
      <c r="K69" s="195">
        <v>0</v>
      </c>
      <c r="L69" s="195">
        <v>0</v>
      </c>
      <c r="M69" s="195">
        <v>0</v>
      </c>
      <c r="N69" s="195">
        <v>0</v>
      </c>
      <c r="O69" s="195">
        <v>0</v>
      </c>
    </row>
    <row r="70" spans="1:15" hidden="1" x14ac:dyDescent="0.25">
      <c r="A70" s="28">
        <v>556</v>
      </c>
      <c r="B70" s="74" t="s">
        <v>42</v>
      </c>
      <c r="C70" s="27"/>
      <c r="D70" s="195">
        <v>0</v>
      </c>
      <c r="E70" s="195">
        <v>0</v>
      </c>
      <c r="F70" s="195">
        <v>0</v>
      </c>
      <c r="G70" s="195">
        <v>0</v>
      </c>
      <c r="H70" s="195">
        <v>0</v>
      </c>
      <c r="I70" s="195">
        <v>0</v>
      </c>
      <c r="J70" s="195">
        <v>0</v>
      </c>
      <c r="K70" s="195">
        <v>0</v>
      </c>
      <c r="L70" s="195">
        <v>0</v>
      </c>
      <c r="M70" s="195">
        <v>0</v>
      </c>
      <c r="N70" s="195">
        <v>0</v>
      </c>
      <c r="O70" s="195">
        <v>0</v>
      </c>
    </row>
    <row r="71" spans="1:15" hidden="1" x14ac:dyDescent="0.25">
      <c r="A71" s="28">
        <v>555</v>
      </c>
      <c r="B71" s="74" t="s">
        <v>43</v>
      </c>
      <c r="C71" s="27"/>
      <c r="D71" s="195">
        <v>0</v>
      </c>
      <c r="E71" s="195">
        <v>0</v>
      </c>
      <c r="F71" s="195">
        <v>0</v>
      </c>
      <c r="G71" s="195">
        <v>0</v>
      </c>
      <c r="H71" s="195">
        <v>0</v>
      </c>
      <c r="I71" s="195">
        <v>0</v>
      </c>
      <c r="J71" s="195">
        <v>0</v>
      </c>
      <c r="K71" s="195">
        <v>0</v>
      </c>
      <c r="L71" s="195">
        <v>0</v>
      </c>
      <c r="M71" s="195">
        <v>0</v>
      </c>
      <c r="N71" s="195">
        <v>0</v>
      </c>
      <c r="O71" s="195">
        <v>0</v>
      </c>
    </row>
    <row r="72" spans="1:15" ht="12" hidden="1" customHeight="1" x14ac:dyDescent="0.25">
      <c r="A72" s="28">
        <v>562</v>
      </c>
      <c r="B72" s="74" t="s">
        <v>44</v>
      </c>
      <c r="C72" s="27"/>
      <c r="D72" s="195">
        <v>0</v>
      </c>
      <c r="E72" s="195">
        <v>0</v>
      </c>
      <c r="F72" s="195">
        <v>0</v>
      </c>
      <c r="G72" s="195">
        <v>0</v>
      </c>
      <c r="H72" s="195">
        <v>0</v>
      </c>
      <c r="I72" s="195">
        <v>0</v>
      </c>
      <c r="J72" s="195">
        <v>0</v>
      </c>
      <c r="K72" s="195">
        <v>0</v>
      </c>
      <c r="L72" s="195">
        <v>0</v>
      </c>
      <c r="M72" s="195">
        <v>0</v>
      </c>
      <c r="N72" s="195">
        <v>0</v>
      </c>
      <c r="O72" s="195">
        <v>0</v>
      </c>
    </row>
    <row r="73" spans="1:15" ht="12" hidden="1" customHeight="1" x14ac:dyDescent="0.25">
      <c r="A73" s="28">
        <v>589</v>
      </c>
      <c r="B73" s="74" t="s">
        <v>46</v>
      </c>
      <c r="C73" s="27"/>
      <c r="D73" s="195">
        <v>0</v>
      </c>
      <c r="E73" s="195">
        <v>0</v>
      </c>
      <c r="F73" s="195">
        <v>0</v>
      </c>
      <c r="G73" s="195">
        <v>0</v>
      </c>
      <c r="H73" s="195">
        <v>0</v>
      </c>
      <c r="I73" s="195">
        <v>0</v>
      </c>
      <c r="J73" s="195">
        <v>0</v>
      </c>
      <c r="K73" s="195">
        <v>0</v>
      </c>
      <c r="L73" s="195">
        <v>0</v>
      </c>
      <c r="M73" s="195">
        <v>0</v>
      </c>
      <c r="N73" s="195">
        <v>0</v>
      </c>
      <c r="O73" s="195">
        <v>0</v>
      </c>
    </row>
    <row r="74" spans="1:15" ht="12" hidden="1" customHeight="1" x14ac:dyDescent="0.25">
      <c r="A74" s="28">
        <v>587</v>
      </c>
      <c r="B74" s="74" t="s">
        <v>45</v>
      </c>
      <c r="C74" s="27"/>
      <c r="D74" s="195">
        <v>0</v>
      </c>
      <c r="E74" s="195">
        <v>0</v>
      </c>
      <c r="F74" s="195">
        <v>0</v>
      </c>
      <c r="G74" s="195">
        <v>0</v>
      </c>
      <c r="H74" s="195">
        <v>0</v>
      </c>
      <c r="I74" s="195">
        <v>0</v>
      </c>
      <c r="J74" s="195">
        <v>0</v>
      </c>
      <c r="K74" s="195">
        <v>0</v>
      </c>
      <c r="L74" s="195">
        <v>0</v>
      </c>
      <c r="M74" s="195">
        <v>0</v>
      </c>
      <c r="N74" s="195">
        <v>0</v>
      </c>
      <c r="O74" s="195">
        <v>0</v>
      </c>
    </row>
    <row r="75" spans="1:15" ht="12" hidden="1" customHeight="1" x14ac:dyDescent="0.25">
      <c r="A75" s="28">
        <v>665</v>
      </c>
      <c r="B75" s="74" t="s">
        <v>422</v>
      </c>
      <c r="C75" s="27"/>
      <c r="D75" s="195">
        <v>0</v>
      </c>
      <c r="E75" s="195">
        <v>0</v>
      </c>
      <c r="F75" s="195">
        <v>0</v>
      </c>
      <c r="G75" s="195">
        <v>0</v>
      </c>
      <c r="H75" s="195">
        <v>0</v>
      </c>
      <c r="I75" s="195">
        <v>0</v>
      </c>
      <c r="J75" s="195">
        <v>0</v>
      </c>
      <c r="K75" s="195">
        <v>0</v>
      </c>
      <c r="L75" s="195">
        <v>0</v>
      </c>
      <c r="M75" s="195">
        <v>0</v>
      </c>
      <c r="N75" s="195">
        <v>0</v>
      </c>
      <c r="O75" s="195">
        <v>0</v>
      </c>
    </row>
    <row r="76" spans="1:15" ht="12" hidden="1" customHeight="1" x14ac:dyDescent="0.25">
      <c r="A76" s="28">
        <v>596</v>
      </c>
      <c r="B76" s="74" t="s">
        <v>47</v>
      </c>
      <c r="C76" s="27"/>
      <c r="D76" s="195">
        <v>0</v>
      </c>
      <c r="E76" s="195">
        <v>0</v>
      </c>
      <c r="F76" s="195">
        <v>0</v>
      </c>
      <c r="G76" s="195">
        <v>0</v>
      </c>
      <c r="H76" s="195">
        <v>0</v>
      </c>
      <c r="I76" s="195">
        <v>0</v>
      </c>
      <c r="J76" s="195">
        <v>0</v>
      </c>
      <c r="K76" s="195">
        <v>0</v>
      </c>
      <c r="L76" s="195">
        <v>0</v>
      </c>
      <c r="M76" s="195">
        <v>0</v>
      </c>
      <c r="N76" s="195">
        <v>0</v>
      </c>
      <c r="O76" s="195">
        <v>0</v>
      </c>
    </row>
    <row r="77" spans="1:15" ht="12" hidden="1" customHeight="1" x14ac:dyDescent="0.25">
      <c r="A77" s="28">
        <v>668</v>
      </c>
      <c r="B77" s="74" t="s">
        <v>427</v>
      </c>
      <c r="C77" s="27"/>
      <c r="D77" s="195">
        <v>0</v>
      </c>
      <c r="E77" s="195">
        <v>0</v>
      </c>
      <c r="F77" s="195">
        <v>0</v>
      </c>
      <c r="G77" s="195">
        <v>0</v>
      </c>
      <c r="H77" s="195">
        <v>0</v>
      </c>
      <c r="I77" s="195">
        <v>0</v>
      </c>
      <c r="J77" s="195">
        <v>0</v>
      </c>
      <c r="K77" s="195">
        <v>0</v>
      </c>
      <c r="L77" s="195">
        <v>0</v>
      </c>
      <c r="M77" s="195">
        <v>0</v>
      </c>
      <c r="N77" s="195">
        <v>0</v>
      </c>
      <c r="O77" s="195">
        <v>0</v>
      </c>
    </row>
    <row r="78" spans="1:15" ht="12" hidden="1" customHeight="1" x14ac:dyDescent="0.25">
      <c r="A78" s="28">
        <v>669</v>
      </c>
      <c r="B78" s="74" t="s">
        <v>428</v>
      </c>
      <c r="C78" s="27"/>
      <c r="D78" s="195">
        <v>0</v>
      </c>
      <c r="E78" s="195">
        <v>0</v>
      </c>
      <c r="F78" s="195">
        <v>0</v>
      </c>
      <c r="G78" s="195">
        <v>0</v>
      </c>
      <c r="H78" s="195">
        <v>0</v>
      </c>
      <c r="I78" s="195">
        <v>0</v>
      </c>
      <c r="J78" s="195">
        <v>0</v>
      </c>
      <c r="K78" s="195">
        <v>0</v>
      </c>
      <c r="L78" s="195">
        <v>0</v>
      </c>
      <c r="M78" s="195">
        <v>0</v>
      </c>
      <c r="N78" s="195">
        <v>0</v>
      </c>
      <c r="O78" s="195">
        <v>0</v>
      </c>
    </row>
    <row r="79" spans="1:15" ht="12" hidden="1" customHeight="1" x14ac:dyDescent="0.25">
      <c r="A79" s="28">
        <v>670</v>
      </c>
      <c r="B79" s="74" t="s">
        <v>429</v>
      </c>
      <c r="C79" s="27"/>
      <c r="D79" s="195">
        <v>0</v>
      </c>
      <c r="E79" s="195">
        <v>0</v>
      </c>
      <c r="F79" s="195">
        <v>0</v>
      </c>
      <c r="G79" s="195">
        <v>0</v>
      </c>
      <c r="H79" s="195">
        <v>0</v>
      </c>
      <c r="I79" s="195">
        <v>0</v>
      </c>
      <c r="J79" s="195">
        <v>0</v>
      </c>
      <c r="K79" s="195">
        <v>0</v>
      </c>
      <c r="L79" s="195">
        <v>0</v>
      </c>
      <c r="M79" s="195">
        <v>0</v>
      </c>
      <c r="N79" s="195">
        <v>0</v>
      </c>
      <c r="O79" s="195">
        <v>0</v>
      </c>
    </row>
    <row r="80" spans="1:15" ht="12" hidden="1" customHeight="1" x14ac:dyDescent="0.25">
      <c r="A80" s="28">
        <v>671</v>
      </c>
      <c r="B80" s="74" t="s">
        <v>430</v>
      </c>
      <c r="C80" s="27"/>
      <c r="D80" s="195">
        <v>0</v>
      </c>
      <c r="E80" s="195">
        <v>0</v>
      </c>
      <c r="F80" s="195">
        <v>0</v>
      </c>
      <c r="G80" s="195">
        <v>0</v>
      </c>
      <c r="H80" s="195">
        <v>0</v>
      </c>
      <c r="I80" s="195">
        <v>0</v>
      </c>
      <c r="J80" s="195">
        <v>0</v>
      </c>
      <c r="K80" s="195">
        <v>0</v>
      </c>
      <c r="L80" s="195">
        <v>0</v>
      </c>
      <c r="M80" s="195">
        <v>0</v>
      </c>
      <c r="N80" s="195">
        <v>0</v>
      </c>
      <c r="O80" s="195">
        <v>0</v>
      </c>
    </row>
    <row r="81" spans="1:15" ht="12" hidden="1" customHeight="1" x14ac:dyDescent="0.25">
      <c r="A81" s="28">
        <v>688</v>
      </c>
      <c r="B81" s="74" t="s">
        <v>447</v>
      </c>
      <c r="C81" s="27"/>
      <c r="D81" s="195">
        <v>0</v>
      </c>
      <c r="E81" s="195">
        <v>0</v>
      </c>
      <c r="F81" s="195">
        <v>0</v>
      </c>
      <c r="G81" s="195">
        <v>0</v>
      </c>
      <c r="H81" s="195">
        <v>0</v>
      </c>
      <c r="I81" s="195">
        <v>0</v>
      </c>
      <c r="J81" s="195">
        <v>0</v>
      </c>
      <c r="K81" s="195">
        <v>0</v>
      </c>
      <c r="L81" s="195">
        <v>0</v>
      </c>
      <c r="M81" s="195">
        <v>0</v>
      </c>
      <c r="N81" s="195">
        <v>0</v>
      </c>
      <c r="O81" s="195">
        <v>0</v>
      </c>
    </row>
    <row r="82" spans="1:15" ht="12" customHeight="1" x14ac:dyDescent="0.25">
      <c r="A82" s="28">
        <v>678</v>
      </c>
      <c r="B82" s="74" t="s">
        <v>437</v>
      </c>
      <c r="C82" s="27"/>
      <c r="D82" s="195">
        <v>0</v>
      </c>
      <c r="E82" s="195">
        <v>0</v>
      </c>
      <c r="F82" s="195">
        <v>0</v>
      </c>
      <c r="G82" s="195">
        <v>0</v>
      </c>
      <c r="H82" s="195">
        <v>0</v>
      </c>
      <c r="I82" s="195">
        <v>0</v>
      </c>
      <c r="J82" s="195">
        <v>0</v>
      </c>
      <c r="K82" s="195">
        <v>0</v>
      </c>
      <c r="L82" s="195">
        <v>0</v>
      </c>
      <c r="M82" s="195">
        <v>0</v>
      </c>
      <c r="N82" s="195">
        <v>0</v>
      </c>
      <c r="O82" s="195">
        <v>0</v>
      </c>
    </row>
    <row r="83" spans="1:15" ht="12" customHeight="1" x14ac:dyDescent="0.25">
      <c r="A83" s="28" t="s">
        <v>457</v>
      </c>
      <c r="B83" s="74" t="s">
        <v>452</v>
      </c>
      <c r="C83" s="27"/>
      <c r="D83" s="195">
        <v>0</v>
      </c>
      <c r="E83" s="195">
        <v>0</v>
      </c>
      <c r="F83" s="195">
        <v>0</v>
      </c>
      <c r="G83" s="195">
        <v>0</v>
      </c>
      <c r="H83" s="195">
        <v>0</v>
      </c>
      <c r="I83" s="195">
        <v>0</v>
      </c>
      <c r="J83" s="195">
        <v>0</v>
      </c>
      <c r="K83" s="195">
        <v>0</v>
      </c>
      <c r="L83" s="195">
        <v>0</v>
      </c>
      <c r="M83" s="195">
        <v>0</v>
      </c>
      <c r="N83" s="195">
        <v>0</v>
      </c>
      <c r="O83" s="195">
        <v>0</v>
      </c>
    </row>
    <row r="84" spans="1:15" ht="12" customHeight="1" x14ac:dyDescent="0.25">
      <c r="A84" s="28" t="s">
        <v>458</v>
      </c>
      <c r="B84" s="74" t="s">
        <v>453</v>
      </c>
      <c r="C84" s="27"/>
      <c r="D84" s="195">
        <v>0</v>
      </c>
      <c r="E84" s="195">
        <v>0</v>
      </c>
      <c r="F84" s="195">
        <v>0</v>
      </c>
      <c r="G84" s="195">
        <v>0</v>
      </c>
      <c r="H84" s="195">
        <v>0</v>
      </c>
      <c r="I84" s="195">
        <v>0</v>
      </c>
      <c r="J84" s="195">
        <v>0</v>
      </c>
      <c r="K84" s="195">
        <v>0</v>
      </c>
      <c r="L84" s="195">
        <v>0</v>
      </c>
      <c r="M84" s="195">
        <v>44798.61</v>
      </c>
      <c r="N84" s="195">
        <v>57636.7</v>
      </c>
      <c r="O84" s="195">
        <v>60622.36</v>
      </c>
    </row>
    <row r="85" spans="1:15" ht="12" customHeight="1" x14ac:dyDescent="0.25">
      <c r="A85" s="28" t="s">
        <v>459</v>
      </c>
      <c r="B85" s="74" t="s">
        <v>454</v>
      </c>
      <c r="C85" s="27"/>
      <c r="D85" s="195">
        <v>0</v>
      </c>
      <c r="E85" s="195">
        <v>0</v>
      </c>
      <c r="F85" s="195">
        <v>0</v>
      </c>
      <c r="G85" s="195">
        <v>0</v>
      </c>
      <c r="H85" s="195">
        <v>0</v>
      </c>
      <c r="I85" s="195">
        <v>0</v>
      </c>
      <c r="J85" s="195">
        <v>0</v>
      </c>
      <c r="K85" s="195">
        <v>0</v>
      </c>
      <c r="L85" s="195">
        <v>0</v>
      </c>
      <c r="M85" s="195">
        <v>1430.55</v>
      </c>
      <c r="N85" s="195">
        <v>1419</v>
      </c>
      <c r="O85" s="195">
        <v>1407.31</v>
      </c>
    </row>
    <row r="86" spans="1:15" ht="12" customHeight="1" x14ac:dyDescent="0.25">
      <c r="A86" s="28" t="s">
        <v>460</v>
      </c>
      <c r="B86" s="74" t="s">
        <v>455</v>
      </c>
      <c r="C86" s="27"/>
      <c r="D86" s="195">
        <v>0</v>
      </c>
      <c r="E86" s="195">
        <v>0</v>
      </c>
      <c r="F86" s="195">
        <v>0</v>
      </c>
      <c r="G86" s="195">
        <v>0</v>
      </c>
      <c r="H86" s="195">
        <v>0</v>
      </c>
      <c r="I86" s="195">
        <v>0</v>
      </c>
      <c r="J86" s="195">
        <v>0</v>
      </c>
      <c r="K86" s="195">
        <v>0</v>
      </c>
      <c r="L86" s="195">
        <v>0</v>
      </c>
      <c r="M86" s="195">
        <v>0</v>
      </c>
      <c r="N86" s="195">
        <v>38672.54</v>
      </c>
      <c r="O86" s="195">
        <v>43720.87</v>
      </c>
    </row>
    <row r="87" spans="1:15" ht="12" customHeight="1" x14ac:dyDescent="0.25">
      <c r="A87" s="28" t="s">
        <v>461</v>
      </c>
      <c r="B87" s="74" t="s">
        <v>456</v>
      </c>
      <c r="C87" s="27"/>
      <c r="D87" s="195">
        <v>0</v>
      </c>
      <c r="E87" s="195">
        <v>0</v>
      </c>
      <c r="F87" s="195">
        <v>0</v>
      </c>
      <c r="G87" s="195">
        <v>0</v>
      </c>
      <c r="H87" s="195">
        <v>0</v>
      </c>
      <c r="I87" s="195">
        <v>0</v>
      </c>
      <c r="J87" s="195">
        <v>0</v>
      </c>
      <c r="K87" s="195">
        <v>0</v>
      </c>
      <c r="L87" s="195">
        <v>0</v>
      </c>
      <c r="M87" s="195">
        <v>0</v>
      </c>
      <c r="N87" s="195">
        <v>0</v>
      </c>
      <c r="O87" s="195">
        <v>0</v>
      </c>
    </row>
    <row r="88" spans="1:15" x14ac:dyDescent="0.25">
      <c r="A88" s="28" t="s">
        <v>473</v>
      </c>
      <c r="B88" s="74" t="s">
        <v>474</v>
      </c>
      <c r="C88" s="27"/>
      <c r="D88" s="195">
        <v>0</v>
      </c>
      <c r="E88" s="195">
        <v>0</v>
      </c>
      <c r="F88" s="195">
        <v>0</v>
      </c>
      <c r="G88" s="195">
        <v>0</v>
      </c>
      <c r="H88" s="195">
        <v>0</v>
      </c>
      <c r="I88" s="195">
        <v>0</v>
      </c>
      <c r="J88" s="195">
        <v>0</v>
      </c>
      <c r="K88" s="195">
        <v>0</v>
      </c>
      <c r="L88" s="195">
        <v>0</v>
      </c>
      <c r="M88" s="195">
        <v>0</v>
      </c>
      <c r="N88" s="195">
        <v>0</v>
      </c>
      <c r="O88" s="195">
        <v>0</v>
      </c>
    </row>
    <row r="89" spans="1:15" x14ac:dyDescent="0.25">
      <c r="A89" s="28" t="s">
        <v>509</v>
      </c>
      <c r="B89" s="74" t="s">
        <v>510</v>
      </c>
      <c r="C89" s="27"/>
      <c r="D89" s="195">
        <v>0</v>
      </c>
      <c r="E89" s="195">
        <v>0</v>
      </c>
      <c r="F89" s="195">
        <v>0</v>
      </c>
      <c r="G89" s="195">
        <v>0</v>
      </c>
      <c r="H89" s="195">
        <v>0</v>
      </c>
      <c r="I89" s="195">
        <v>0</v>
      </c>
      <c r="J89" s="195">
        <v>0</v>
      </c>
      <c r="K89" s="195">
        <v>0</v>
      </c>
      <c r="L89" s="195">
        <v>0</v>
      </c>
      <c r="M89" s="195">
        <v>73916.84</v>
      </c>
      <c r="N89" s="195">
        <v>73625.960000000006</v>
      </c>
      <c r="O89" s="195">
        <v>0</v>
      </c>
    </row>
    <row r="90" spans="1:15" x14ac:dyDescent="0.25">
      <c r="A90" s="28" t="s">
        <v>511</v>
      </c>
      <c r="B90" s="74" t="s">
        <v>512</v>
      </c>
      <c r="C90" s="27"/>
      <c r="D90" s="195">
        <v>0</v>
      </c>
      <c r="E90" s="195">
        <v>0</v>
      </c>
      <c r="F90" s="195">
        <v>0</v>
      </c>
      <c r="G90" s="195">
        <v>0</v>
      </c>
      <c r="H90" s="195">
        <v>0</v>
      </c>
      <c r="I90" s="195">
        <v>0</v>
      </c>
      <c r="J90" s="195">
        <v>0</v>
      </c>
      <c r="K90" s="195">
        <v>0</v>
      </c>
      <c r="L90" s="195">
        <v>0</v>
      </c>
      <c r="M90" s="195">
        <v>10034.23</v>
      </c>
      <c r="N90" s="195">
        <v>9405.1200000000008</v>
      </c>
      <c r="O90" s="195">
        <v>9375.36</v>
      </c>
    </row>
    <row r="91" spans="1:15" x14ac:dyDescent="0.25">
      <c r="A91" s="28" t="s">
        <v>513</v>
      </c>
      <c r="B91" s="74" t="s">
        <v>514</v>
      </c>
      <c r="C91" s="27"/>
      <c r="D91" s="195">
        <v>0</v>
      </c>
      <c r="E91" s="195">
        <v>0</v>
      </c>
      <c r="F91" s="195">
        <v>0</v>
      </c>
      <c r="G91" s="195">
        <v>0</v>
      </c>
      <c r="H91" s="195">
        <v>0</v>
      </c>
      <c r="I91" s="195">
        <v>0</v>
      </c>
      <c r="J91" s="195">
        <v>0</v>
      </c>
      <c r="K91" s="195">
        <v>0</v>
      </c>
      <c r="L91" s="195">
        <v>0</v>
      </c>
      <c r="M91" s="195">
        <v>0</v>
      </c>
      <c r="N91" s="195">
        <v>0</v>
      </c>
      <c r="O91" s="195">
        <v>0</v>
      </c>
    </row>
    <row r="92" spans="1:15" x14ac:dyDescent="0.25">
      <c r="A92" s="28" t="s">
        <v>515</v>
      </c>
      <c r="B92" s="74" t="s">
        <v>516</v>
      </c>
      <c r="C92" s="27"/>
      <c r="D92" s="195">
        <v>0</v>
      </c>
      <c r="E92" s="195">
        <v>0</v>
      </c>
      <c r="F92" s="195">
        <v>0</v>
      </c>
      <c r="G92" s="195">
        <v>0</v>
      </c>
      <c r="H92" s="195">
        <v>0</v>
      </c>
      <c r="I92" s="195">
        <v>0</v>
      </c>
      <c r="J92" s="195">
        <v>0</v>
      </c>
      <c r="K92" s="195">
        <v>0</v>
      </c>
      <c r="L92" s="195">
        <v>0</v>
      </c>
      <c r="M92" s="195">
        <v>94182.43</v>
      </c>
      <c r="N92" s="195">
        <v>111695.13</v>
      </c>
      <c r="O92" s="195">
        <v>0</v>
      </c>
    </row>
    <row r="93" spans="1:15" x14ac:dyDescent="0.25">
      <c r="A93" s="28" t="s">
        <v>519</v>
      </c>
      <c r="B93" s="74" t="s">
        <v>520</v>
      </c>
      <c r="C93" s="27"/>
      <c r="D93" s="195">
        <v>0</v>
      </c>
      <c r="E93" s="195">
        <v>0</v>
      </c>
      <c r="F93" s="195">
        <v>0</v>
      </c>
      <c r="G93" s="195">
        <v>0</v>
      </c>
      <c r="H93" s="195">
        <v>0</v>
      </c>
      <c r="I93" s="195">
        <v>0</v>
      </c>
      <c r="J93" s="195">
        <v>0</v>
      </c>
      <c r="K93" s="195">
        <v>0</v>
      </c>
      <c r="L93" s="195">
        <v>0</v>
      </c>
      <c r="M93" s="195">
        <v>4336.88</v>
      </c>
      <c r="N93" s="195">
        <v>0</v>
      </c>
      <c r="O93" s="195">
        <v>0</v>
      </c>
    </row>
    <row r="94" spans="1:15" x14ac:dyDescent="0.25">
      <c r="A94" s="28" t="s">
        <v>521</v>
      </c>
      <c r="B94" s="74" t="s">
        <v>522</v>
      </c>
      <c r="C94" s="27"/>
      <c r="D94" s="195">
        <v>0</v>
      </c>
      <c r="E94" s="195">
        <v>0</v>
      </c>
      <c r="F94" s="195">
        <v>0</v>
      </c>
      <c r="G94" s="195">
        <v>0</v>
      </c>
      <c r="H94" s="195">
        <v>0</v>
      </c>
      <c r="I94" s="195">
        <v>0</v>
      </c>
      <c r="J94" s="195">
        <v>0</v>
      </c>
      <c r="K94" s="195">
        <v>0</v>
      </c>
      <c r="L94" s="195">
        <v>0</v>
      </c>
      <c r="M94" s="195">
        <v>4431.6499999999996</v>
      </c>
      <c r="N94" s="195">
        <v>317.60000000000002</v>
      </c>
      <c r="O94" s="195">
        <v>0</v>
      </c>
    </row>
    <row r="95" spans="1:15" x14ac:dyDescent="0.25">
      <c r="A95" s="28" t="s">
        <v>523</v>
      </c>
      <c r="B95" s="74" t="s">
        <v>524</v>
      </c>
      <c r="C95" s="27"/>
      <c r="D95" s="195">
        <v>0</v>
      </c>
      <c r="E95" s="195">
        <v>0</v>
      </c>
      <c r="F95" s="195">
        <v>0</v>
      </c>
      <c r="G95" s="195">
        <v>0</v>
      </c>
      <c r="H95" s="195">
        <v>0</v>
      </c>
      <c r="I95" s="195">
        <v>0</v>
      </c>
      <c r="J95" s="195">
        <v>0</v>
      </c>
      <c r="K95" s="195">
        <v>0</v>
      </c>
      <c r="L95" s="195">
        <v>0</v>
      </c>
      <c r="M95" s="195">
        <v>0</v>
      </c>
      <c r="N95" s="195">
        <v>0</v>
      </c>
      <c r="O95" s="195">
        <v>0</v>
      </c>
    </row>
    <row r="96" spans="1:15" x14ac:dyDescent="0.25">
      <c r="A96" s="28" t="s">
        <v>536</v>
      </c>
      <c r="B96" s="74" t="s">
        <v>537</v>
      </c>
      <c r="C96" s="27"/>
      <c r="D96" s="195">
        <v>0</v>
      </c>
      <c r="E96" s="195">
        <v>0</v>
      </c>
      <c r="F96" s="195">
        <v>0</v>
      </c>
      <c r="G96" s="195">
        <v>0</v>
      </c>
      <c r="H96" s="195">
        <v>0</v>
      </c>
      <c r="I96" s="195">
        <v>0</v>
      </c>
      <c r="J96" s="195">
        <v>0</v>
      </c>
      <c r="K96" s="195">
        <v>0</v>
      </c>
      <c r="L96" s="195">
        <v>0</v>
      </c>
      <c r="M96" s="195">
        <v>0</v>
      </c>
      <c r="N96" s="195">
        <v>0</v>
      </c>
      <c r="O96" s="195">
        <v>0</v>
      </c>
    </row>
    <row r="97" spans="1:15" x14ac:dyDescent="0.25">
      <c r="A97" s="28" t="s">
        <v>538</v>
      </c>
      <c r="B97" s="74" t="s">
        <v>539</v>
      </c>
      <c r="C97" s="27"/>
      <c r="D97" s="195">
        <v>0</v>
      </c>
      <c r="E97" s="195">
        <v>0</v>
      </c>
      <c r="F97" s="195">
        <v>0</v>
      </c>
      <c r="G97" s="195">
        <v>0</v>
      </c>
      <c r="H97" s="195">
        <v>0</v>
      </c>
      <c r="I97" s="195">
        <v>0</v>
      </c>
      <c r="J97" s="195">
        <v>0</v>
      </c>
      <c r="K97" s="195">
        <v>0</v>
      </c>
      <c r="L97" s="195">
        <v>0</v>
      </c>
      <c r="M97" s="195">
        <v>0</v>
      </c>
      <c r="N97" s="195">
        <v>0</v>
      </c>
      <c r="O97" s="195">
        <v>0</v>
      </c>
    </row>
    <row r="98" spans="1:15" x14ac:dyDescent="0.25">
      <c r="A98" s="28" t="s">
        <v>579</v>
      </c>
      <c r="B98" s="74" t="s">
        <v>580</v>
      </c>
      <c r="C98" s="27"/>
      <c r="D98" s="195">
        <v>0</v>
      </c>
      <c r="E98" s="195">
        <v>0</v>
      </c>
      <c r="F98" s="195">
        <v>0</v>
      </c>
      <c r="G98" s="195">
        <v>0</v>
      </c>
      <c r="H98" s="195">
        <v>0</v>
      </c>
      <c r="I98" s="195">
        <v>0</v>
      </c>
      <c r="J98" s="195">
        <v>0</v>
      </c>
      <c r="K98" s="195">
        <v>0</v>
      </c>
      <c r="L98" s="195">
        <v>0</v>
      </c>
      <c r="M98" s="195">
        <v>0</v>
      </c>
      <c r="N98" s="195">
        <v>0</v>
      </c>
      <c r="O98" s="195">
        <v>0</v>
      </c>
    </row>
    <row r="99" spans="1:15" x14ac:dyDescent="0.25">
      <c r="A99" s="28" t="s">
        <v>581</v>
      </c>
      <c r="B99" s="74" t="s">
        <v>582</v>
      </c>
      <c r="C99" s="27"/>
      <c r="D99" s="195">
        <v>0</v>
      </c>
      <c r="E99" s="195">
        <v>0</v>
      </c>
      <c r="F99" s="195">
        <v>0</v>
      </c>
      <c r="G99" s="195">
        <v>0</v>
      </c>
      <c r="H99" s="195">
        <v>0</v>
      </c>
      <c r="I99" s="195">
        <v>0</v>
      </c>
      <c r="J99" s="195">
        <v>0</v>
      </c>
      <c r="K99" s="195">
        <v>0</v>
      </c>
      <c r="L99" s="195">
        <v>0</v>
      </c>
      <c r="M99" s="195">
        <v>215519.22</v>
      </c>
      <c r="N99" s="195">
        <v>224103.88</v>
      </c>
      <c r="O99" s="195">
        <v>434671.68</v>
      </c>
    </row>
    <row r="100" spans="1:15" x14ac:dyDescent="0.25">
      <c r="A100" s="28" t="s">
        <v>583</v>
      </c>
      <c r="B100" s="74" t="s">
        <v>584</v>
      </c>
      <c r="C100" s="27"/>
      <c r="D100" s="195">
        <v>0</v>
      </c>
      <c r="E100" s="195">
        <v>0</v>
      </c>
      <c r="F100" s="195">
        <v>0</v>
      </c>
      <c r="G100" s="195">
        <v>0</v>
      </c>
      <c r="H100" s="195">
        <v>0</v>
      </c>
      <c r="I100" s="195">
        <v>0</v>
      </c>
      <c r="J100" s="195">
        <v>0</v>
      </c>
      <c r="K100" s="195">
        <v>0</v>
      </c>
      <c r="L100" s="195">
        <v>0</v>
      </c>
      <c r="M100" s="195">
        <v>644474.67000000004</v>
      </c>
      <c r="N100" s="195">
        <v>638690.75</v>
      </c>
      <c r="O100" s="195">
        <v>632811.9</v>
      </c>
    </row>
    <row r="101" spans="1:15" x14ac:dyDescent="0.25">
      <c r="A101" s="28" t="s">
        <v>587</v>
      </c>
      <c r="B101" s="74" t="s">
        <v>588</v>
      </c>
      <c r="C101" s="27"/>
      <c r="D101" s="195">
        <v>0</v>
      </c>
      <c r="E101" s="195">
        <v>0</v>
      </c>
      <c r="F101" s="195">
        <v>0</v>
      </c>
      <c r="G101" s="195">
        <v>0</v>
      </c>
      <c r="H101" s="195">
        <v>0</v>
      </c>
      <c r="I101" s="195">
        <v>0</v>
      </c>
      <c r="J101" s="195">
        <v>0</v>
      </c>
      <c r="K101" s="195">
        <v>0</v>
      </c>
      <c r="L101" s="195">
        <v>0</v>
      </c>
      <c r="M101" s="195">
        <v>0</v>
      </c>
      <c r="N101" s="195">
        <v>0</v>
      </c>
      <c r="O101" s="195">
        <v>0</v>
      </c>
    </row>
    <row r="102" spans="1:15" x14ac:dyDescent="0.25">
      <c r="A102" s="28" t="s">
        <v>589</v>
      </c>
      <c r="B102" s="74" t="s">
        <v>590</v>
      </c>
      <c r="C102" s="27"/>
      <c r="D102" s="195">
        <v>0</v>
      </c>
      <c r="E102" s="195">
        <v>0</v>
      </c>
      <c r="F102" s="195">
        <v>0</v>
      </c>
      <c r="G102" s="195">
        <v>0</v>
      </c>
      <c r="H102" s="195">
        <v>0</v>
      </c>
      <c r="I102" s="195">
        <v>0</v>
      </c>
      <c r="J102" s="195">
        <v>0</v>
      </c>
      <c r="K102" s="195">
        <v>0</v>
      </c>
      <c r="L102" s="195">
        <v>0</v>
      </c>
      <c r="M102" s="195">
        <v>0</v>
      </c>
      <c r="N102" s="195">
        <v>0</v>
      </c>
      <c r="O102" s="195">
        <v>0</v>
      </c>
    </row>
    <row r="103" spans="1:15" x14ac:dyDescent="0.25">
      <c r="A103" s="28">
        <v>762</v>
      </c>
      <c r="B103" s="74" t="s">
        <v>601</v>
      </c>
      <c r="C103" s="27"/>
      <c r="D103" s="195">
        <v>0</v>
      </c>
      <c r="E103" s="195">
        <v>0</v>
      </c>
      <c r="F103" s="195">
        <v>0</v>
      </c>
      <c r="G103" s="195">
        <v>0</v>
      </c>
      <c r="H103" s="195">
        <v>0</v>
      </c>
      <c r="I103" s="195">
        <v>0</v>
      </c>
      <c r="J103" s="195">
        <v>0</v>
      </c>
      <c r="K103" s="195">
        <v>0</v>
      </c>
      <c r="L103" s="195">
        <v>0</v>
      </c>
      <c r="M103" s="195">
        <v>2578.52</v>
      </c>
      <c r="N103" s="195">
        <v>0</v>
      </c>
      <c r="O103" s="195">
        <v>0</v>
      </c>
    </row>
    <row r="104" spans="1:15" x14ac:dyDescent="0.25">
      <c r="A104" s="28">
        <v>763</v>
      </c>
      <c r="B104" s="74" t="s">
        <v>602</v>
      </c>
      <c r="C104" s="27"/>
      <c r="D104" s="195">
        <v>0</v>
      </c>
      <c r="E104" s="195">
        <v>0</v>
      </c>
      <c r="F104" s="195">
        <v>0</v>
      </c>
      <c r="G104" s="195">
        <v>0</v>
      </c>
      <c r="H104" s="195">
        <v>0</v>
      </c>
      <c r="I104" s="195">
        <v>0</v>
      </c>
      <c r="J104" s="195">
        <v>0</v>
      </c>
      <c r="K104" s="195">
        <v>0</v>
      </c>
      <c r="L104" s="195">
        <v>0</v>
      </c>
      <c r="M104" s="195">
        <v>5261.71</v>
      </c>
      <c r="N104" s="195">
        <v>0</v>
      </c>
      <c r="O104" s="195">
        <v>0</v>
      </c>
    </row>
    <row r="105" spans="1:15" x14ac:dyDescent="0.25">
      <c r="A105" s="28" t="s">
        <v>615</v>
      </c>
      <c r="B105" s="74" t="s">
        <v>616</v>
      </c>
      <c r="C105" s="27"/>
      <c r="D105" s="195">
        <v>0</v>
      </c>
      <c r="E105" s="195">
        <v>0</v>
      </c>
      <c r="F105" s="195">
        <v>0</v>
      </c>
      <c r="G105" s="195">
        <v>0</v>
      </c>
      <c r="H105" s="195">
        <v>0</v>
      </c>
      <c r="I105" s="195">
        <v>0</v>
      </c>
      <c r="J105" s="195">
        <v>0</v>
      </c>
      <c r="K105" s="195">
        <v>0</v>
      </c>
      <c r="L105" s="195">
        <v>0</v>
      </c>
      <c r="M105" s="195">
        <v>19941.41</v>
      </c>
      <c r="N105" s="195">
        <v>20883.91</v>
      </c>
      <c r="O105" s="195">
        <v>18115.07</v>
      </c>
    </row>
    <row r="106" spans="1:15" x14ac:dyDescent="0.25">
      <c r="A106" s="28" t="s">
        <v>550</v>
      </c>
      <c r="B106" s="74" t="s">
        <v>551</v>
      </c>
      <c r="C106" s="27"/>
      <c r="D106" s="195">
        <v>0</v>
      </c>
      <c r="E106" s="195">
        <v>0</v>
      </c>
      <c r="F106" s="195">
        <v>0</v>
      </c>
      <c r="G106" s="195">
        <v>0</v>
      </c>
      <c r="H106" s="195">
        <v>0</v>
      </c>
      <c r="I106" s="195">
        <v>0</v>
      </c>
      <c r="J106" s="195">
        <v>0</v>
      </c>
      <c r="K106" s="195">
        <v>0</v>
      </c>
      <c r="L106" s="195">
        <v>0</v>
      </c>
      <c r="M106" s="195">
        <v>0</v>
      </c>
      <c r="N106" s="195">
        <v>0</v>
      </c>
      <c r="O106" s="195">
        <v>0</v>
      </c>
    </row>
    <row r="107" spans="1:15" x14ac:dyDescent="0.25">
      <c r="A107" s="28" t="s">
        <v>552</v>
      </c>
      <c r="B107" s="74" t="s">
        <v>553</v>
      </c>
      <c r="C107" s="27"/>
      <c r="D107" s="195">
        <v>0</v>
      </c>
      <c r="E107" s="195">
        <v>0</v>
      </c>
      <c r="F107" s="195">
        <v>0</v>
      </c>
      <c r="G107" s="195">
        <v>0</v>
      </c>
      <c r="H107" s="195">
        <v>0</v>
      </c>
      <c r="I107" s="195">
        <v>0</v>
      </c>
      <c r="J107" s="195">
        <v>0</v>
      </c>
      <c r="K107" s="195">
        <v>0</v>
      </c>
      <c r="L107" s="195">
        <v>0</v>
      </c>
      <c r="M107" s="195">
        <v>0</v>
      </c>
      <c r="N107" s="195">
        <v>0</v>
      </c>
      <c r="O107" s="195">
        <v>0</v>
      </c>
    </row>
    <row r="108" spans="1:15" x14ac:dyDescent="0.25">
      <c r="A108" s="28" t="s">
        <v>559</v>
      </c>
      <c r="B108" s="74" t="s">
        <v>560</v>
      </c>
      <c r="C108" s="27"/>
      <c r="D108" s="195">
        <v>0</v>
      </c>
      <c r="E108" s="195">
        <v>0</v>
      </c>
      <c r="F108" s="195">
        <v>0</v>
      </c>
      <c r="G108" s="195">
        <v>0</v>
      </c>
      <c r="H108" s="195">
        <v>0</v>
      </c>
      <c r="I108" s="195">
        <v>0</v>
      </c>
      <c r="J108" s="195">
        <v>0</v>
      </c>
      <c r="K108" s="195">
        <v>0</v>
      </c>
      <c r="L108" s="195">
        <v>0</v>
      </c>
      <c r="M108" s="195">
        <v>0</v>
      </c>
      <c r="N108" s="195">
        <v>0</v>
      </c>
      <c r="O108" s="195">
        <v>0</v>
      </c>
    </row>
    <row r="109" spans="1:15" x14ac:dyDescent="0.25">
      <c r="A109" s="28" t="s">
        <v>561</v>
      </c>
      <c r="B109" s="74" t="s">
        <v>562</v>
      </c>
      <c r="C109" s="27"/>
      <c r="D109" s="195">
        <v>0</v>
      </c>
      <c r="E109" s="195">
        <v>0</v>
      </c>
      <c r="F109" s="195">
        <v>0</v>
      </c>
      <c r="G109" s="195">
        <v>0</v>
      </c>
      <c r="H109" s="195">
        <v>0</v>
      </c>
      <c r="I109" s="195">
        <v>0</v>
      </c>
      <c r="J109" s="195">
        <v>0</v>
      </c>
      <c r="K109" s="195">
        <v>0</v>
      </c>
      <c r="L109" s="195">
        <v>0</v>
      </c>
      <c r="M109" s="195">
        <v>0</v>
      </c>
      <c r="N109" s="195">
        <v>0</v>
      </c>
      <c r="O109" s="195">
        <v>0</v>
      </c>
    </row>
    <row r="110" spans="1:15" x14ac:dyDescent="0.25">
      <c r="A110" s="28">
        <v>11</v>
      </c>
      <c r="B110" s="74" t="s">
        <v>48</v>
      </c>
      <c r="C110" s="27"/>
      <c r="D110" s="195">
        <v>0</v>
      </c>
      <c r="E110" s="195">
        <v>0</v>
      </c>
      <c r="F110" s="195">
        <v>0</v>
      </c>
      <c r="G110" s="195">
        <v>0</v>
      </c>
      <c r="H110" s="195">
        <v>0</v>
      </c>
      <c r="I110" s="195">
        <v>0</v>
      </c>
      <c r="J110" s="195">
        <v>0</v>
      </c>
      <c r="K110" s="195">
        <v>0</v>
      </c>
      <c r="L110" s="195">
        <v>0</v>
      </c>
      <c r="M110" s="195">
        <v>3645828.82</v>
      </c>
      <c r="N110" s="195">
        <v>3773163.25</v>
      </c>
      <c r="O110" s="195">
        <v>3771023.24</v>
      </c>
    </row>
    <row r="111" spans="1:15" x14ac:dyDescent="0.25">
      <c r="A111" s="28">
        <v>344</v>
      </c>
      <c r="B111" s="74" t="s">
        <v>52</v>
      </c>
      <c r="C111" s="27"/>
      <c r="D111" s="195">
        <v>0</v>
      </c>
      <c r="E111" s="195">
        <v>0</v>
      </c>
      <c r="F111" s="195">
        <v>0</v>
      </c>
      <c r="G111" s="195">
        <v>0</v>
      </c>
      <c r="H111" s="195">
        <v>0</v>
      </c>
      <c r="I111" s="195">
        <v>0</v>
      </c>
      <c r="J111" s="195">
        <v>0</v>
      </c>
      <c r="K111" s="195">
        <v>0</v>
      </c>
      <c r="L111" s="195">
        <v>0</v>
      </c>
      <c r="M111" s="195">
        <v>400</v>
      </c>
      <c r="N111" s="195">
        <v>400</v>
      </c>
      <c r="O111" s="195">
        <v>400</v>
      </c>
    </row>
    <row r="112" spans="1:15" hidden="1" x14ac:dyDescent="0.25">
      <c r="A112" s="28">
        <v>19</v>
      </c>
      <c r="B112" s="74" t="s">
        <v>49</v>
      </c>
      <c r="C112" s="27"/>
      <c r="D112" s="195">
        <v>0</v>
      </c>
      <c r="E112" s="195">
        <v>0</v>
      </c>
      <c r="F112" s="195">
        <v>0</v>
      </c>
      <c r="G112" s="195">
        <v>0</v>
      </c>
      <c r="H112" s="195">
        <v>0</v>
      </c>
      <c r="I112" s="195">
        <v>0</v>
      </c>
      <c r="J112" s="195">
        <v>0</v>
      </c>
      <c r="K112" s="195">
        <v>0</v>
      </c>
      <c r="L112" s="195">
        <v>0</v>
      </c>
      <c r="M112" s="195">
        <v>0</v>
      </c>
      <c r="N112" s="195">
        <v>0</v>
      </c>
      <c r="O112" s="195">
        <v>0</v>
      </c>
    </row>
    <row r="113" spans="1:15" hidden="1" x14ac:dyDescent="0.25">
      <c r="A113" s="28">
        <v>34</v>
      </c>
      <c r="B113" s="74" t="s">
        <v>449</v>
      </c>
      <c r="C113" s="27"/>
      <c r="D113" s="195">
        <v>0</v>
      </c>
      <c r="E113" s="195">
        <v>0</v>
      </c>
      <c r="F113" s="195">
        <v>0</v>
      </c>
      <c r="G113" s="195">
        <v>0</v>
      </c>
      <c r="H113" s="195">
        <v>0</v>
      </c>
      <c r="I113" s="195">
        <v>0</v>
      </c>
      <c r="J113" s="195">
        <v>0</v>
      </c>
      <c r="K113" s="195">
        <v>0</v>
      </c>
      <c r="L113" s="195">
        <v>0</v>
      </c>
      <c r="M113" s="195">
        <v>0</v>
      </c>
      <c r="N113" s="195">
        <v>0</v>
      </c>
      <c r="O113" s="195">
        <v>0</v>
      </c>
    </row>
    <row r="114" spans="1:15" hidden="1" x14ac:dyDescent="0.25">
      <c r="A114" s="28">
        <v>310</v>
      </c>
      <c r="B114" s="74" t="s">
        <v>51</v>
      </c>
      <c r="C114" s="27"/>
      <c r="D114" s="195">
        <v>0</v>
      </c>
      <c r="E114" s="195">
        <v>0</v>
      </c>
      <c r="F114" s="195">
        <v>0</v>
      </c>
      <c r="G114" s="195">
        <v>0</v>
      </c>
      <c r="H114" s="195">
        <v>0</v>
      </c>
      <c r="I114" s="195">
        <v>0</v>
      </c>
      <c r="J114" s="195">
        <v>0</v>
      </c>
      <c r="K114" s="195">
        <v>0</v>
      </c>
      <c r="L114" s="195">
        <v>0</v>
      </c>
      <c r="M114" s="195">
        <v>0</v>
      </c>
      <c r="N114" s="195">
        <v>0</v>
      </c>
      <c r="O114" s="195">
        <v>0</v>
      </c>
    </row>
    <row r="115" spans="1:15" hidden="1" x14ac:dyDescent="0.25">
      <c r="A115" s="28">
        <v>317</v>
      </c>
      <c r="B115" s="74" t="s">
        <v>50</v>
      </c>
      <c r="C115" s="27"/>
      <c r="D115" s="195">
        <v>0</v>
      </c>
      <c r="E115" s="195">
        <v>0</v>
      </c>
      <c r="F115" s="195">
        <v>0</v>
      </c>
      <c r="G115" s="195">
        <v>0</v>
      </c>
      <c r="H115" s="195">
        <v>0</v>
      </c>
      <c r="I115" s="195">
        <v>0</v>
      </c>
      <c r="J115" s="195">
        <v>0</v>
      </c>
      <c r="K115" s="195">
        <v>0</v>
      </c>
      <c r="L115" s="195">
        <v>0</v>
      </c>
      <c r="M115" s="195">
        <v>0</v>
      </c>
      <c r="N115" s="195">
        <v>0</v>
      </c>
      <c r="O115" s="195">
        <v>0</v>
      </c>
    </row>
    <row r="116" spans="1:15" x14ac:dyDescent="0.25">
      <c r="A116" s="28">
        <v>608</v>
      </c>
      <c r="B116" s="74" t="s">
        <v>53</v>
      </c>
      <c r="C116" s="27"/>
      <c r="D116" s="195">
        <v>0</v>
      </c>
      <c r="E116" s="195">
        <v>0</v>
      </c>
      <c r="F116" s="195">
        <v>0</v>
      </c>
      <c r="G116" s="195">
        <v>0</v>
      </c>
      <c r="H116" s="195">
        <v>0</v>
      </c>
      <c r="I116" s="195">
        <v>0</v>
      </c>
      <c r="J116" s="195">
        <v>0</v>
      </c>
      <c r="K116" s="195">
        <v>0</v>
      </c>
      <c r="L116" s="195">
        <v>0</v>
      </c>
      <c r="M116" s="195">
        <v>3135.65</v>
      </c>
      <c r="N116" s="195">
        <v>0</v>
      </c>
      <c r="O116" s="195">
        <v>0</v>
      </c>
    </row>
    <row r="117" spans="1:15" hidden="1" x14ac:dyDescent="0.25">
      <c r="A117" s="28">
        <v>658</v>
      </c>
      <c r="B117" s="74" t="s">
        <v>54</v>
      </c>
      <c r="C117" s="27"/>
      <c r="D117" s="195">
        <v>0</v>
      </c>
      <c r="E117" s="195">
        <v>0</v>
      </c>
      <c r="F117" s="195">
        <v>0</v>
      </c>
      <c r="G117" s="195">
        <v>0</v>
      </c>
      <c r="H117" s="195">
        <v>0</v>
      </c>
      <c r="I117" s="195">
        <v>0</v>
      </c>
      <c r="J117" s="195">
        <v>0</v>
      </c>
      <c r="K117" s="195">
        <v>0</v>
      </c>
      <c r="L117" s="195">
        <v>0</v>
      </c>
      <c r="M117" s="195">
        <v>0</v>
      </c>
      <c r="N117" s="195">
        <v>0</v>
      </c>
      <c r="O117" s="195">
        <v>0</v>
      </c>
    </row>
    <row r="118" spans="1:15" ht="13.5" hidden="1" customHeight="1" x14ac:dyDescent="0.25">
      <c r="A118" s="28">
        <v>409</v>
      </c>
      <c r="B118" s="74" t="s">
        <v>484</v>
      </c>
      <c r="C118" s="27"/>
      <c r="D118" s="195">
        <v>0</v>
      </c>
      <c r="E118" s="195">
        <v>0</v>
      </c>
      <c r="F118" s="195">
        <v>0</v>
      </c>
      <c r="G118" s="195">
        <v>0</v>
      </c>
      <c r="H118" s="195">
        <v>0</v>
      </c>
      <c r="I118" s="195">
        <v>0</v>
      </c>
      <c r="J118" s="195">
        <v>0</v>
      </c>
      <c r="K118" s="195">
        <v>0</v>
      </c>
      <c r="L118" s="195">
        <v>0</v>
      </c>
      <c r="M118" s="195">
        <v>0</v>
      </c>
      <c r="N118" s="195">
        <v>0</v>
      </c>
      <c r="O118" s="195">
        <v>0</v>
      </c>
    </row>
    <row r="119" spans="1:15" hidden="1" x14ac:dyDescent="0.25">
      <c r="A119" s="28">
        <v>552</v>
      </c>
      <c r="B119" s="74" t="s">
        <v>485</v>
      </c>
      <c r="C119" s="27"/>
      <c r="D119" s="195">
        <v>0</v>
      </c>
      <c r="E119" s="195">
        <v>0</v>
      </c>
      <c r="F119" s="195">
        <v>0</v>
      </c>
      <c r="G119" s="195">
        <v>0</v>
      </c>
      <c r="H119" s="195">
        <v>0</v>
      </c>
      <c r="I119" s="195">
        <v>0</v>
      </c>
      <c r="J119" s="195">
        <v>0</v>
      </c>
      <c r="K119" s="195">
        <v>0</v>
      </c>
      <c r="L119" s="195">
        <v>0</v>
      </c>
      <c r="M119" s="195">
        <v>0</v>
      </c>
      <c r="N119" s="195">
        <v>0</v>
      </c>
      <c r="O119" s="195">
        <v>0</v>
      </c>
    </row>
    <row r="120" spans="1:15" hidden="1" x14ac:dyDescent="0.25">
      <c r="A120" s="28">
        <v>640</v>
      </c>
      <c r="B120" s="74" t="s">
        <v>486</v>
      </c>
      <c r="C120" s="27"/>
      <c r="D120" s="195">
        <v>0</v>
      </c>
      <c r="E120" s="195">
        <v>0</v>
      </c>
      <c r="F120" s="195">
        <v>0</v>
      </c>
      <c r="G120" s="195">
        <v>0</v>
      </c>
      <c r="H120" s="195">
        <v>0</v>
      </c>
      <c r="I120" s="195">
        <v>0</v>
      </c>
      <c r="J120" s="195">
        <v>0</v>
      </c>
      <c r="K120" s="195">
        <v>0</v>
      </c>
      <c r="L120" s="195">
        <v>0</v>
      </c>
      <c r="M120" s="195">
        <v>0</v>
      </c>
      <c r="N120" s="195">
        <v>0</v>
      </c>
      <c r="O120" s="195">
        <v>0</v>
      </c>
    </row>
    <row r="121" spans="1:15" hidden="1" x14ac:dyDescent="0.25">
      <c r="A121" s="28">
        <v>637</v>
      </c>
      <c r="B121" s="74" t="s">
        <v>487</v>
      </c>
      <c r="C121" s="27"/>
      <c r="D121" s="195">
        <v>0</v>
      </c>
      <c r="E121" s="195">
        <v>0</v>
      </c>
      <c r="F121" s="195">
        <v>0</v>
      </c>
      <c r="G121" s="195">
        <v>0</v>
      </c>
      <c r="H121" s="195">
        <v>0</v>
      </c>
      <c r="I121" s="195">
        <v>0</v>
      </c>
      <c r="J121" s="195">
        <v>0</v>
      </c>
      <c r="K121" s="195">
        <v>0</v>
      </c>
      <c r="L121" s="195">
        <v>0</v>
      </c>
      <c r="M121" s="195">
        <v>0</v>
      </c>
      <c r="N121" s="195">
        <v>0</v>
      </c>
      <c r="O121" s="195">
        <v>0</v>
      </c>
    </row>
    <row r="122" spans="1:15" hidden="1" x14ac:dyDescent="0.25">
      <c r="A122" s="28">
        <v>639</v>
      </c>
      <c r="B122" s="74" t="s">
        <v>488</v>
      </c>
      <c r="C122" s="27"/>
      <c r="D122" s="195">
        <v>0</v>
      </c>
      <c r="E122" s="195">
        <v>0</v>
      </c>
      <c r="F122" s="195">
        <v>0</v>
      </c>
      <c r="G122" s="195">
        <v>0</v>
      </c>
      <c r="H122" s="195">
        <v>0</v>
      </c>
      <c r="I122" s="195">
        <v>0</v>
      </c>
      <c r="J122" s="195">
        <v>0</v>
      </c>
      <c r="K122" s="195">
        <v>0</v>
      </c>
      <c r="L122" s="195">
        <v>0</v>
      </c>
      <c r="M122" s="195">
        <v>0</v>
      </c>
      <c r="N122" s="195">
        <v>0</v>
      </c>
      <c r="O122" s="195">
        <v>0</v>
      </c>
    </row>
    <row r="123" spans="1:15" hidden="1" x14ac:dyDescent="0.25">
      <c r="A123" s="28">
        <v>638</v>
      </c>
      <c r="B123" s="74" t="s">
        <v>489</v>
      </c>
      <c r="C123" s="27"/>
      <c r="D123" s="195">
        <v>0</v>
      </c>
      <c r="E123" s="195">
        <v>0</v>
      </c>
      <c r="F123" s="195">
        <v>0</v>
      </c>
      <c r="G123" s="195">
        <v>0</v>
      </c>
      <c r="H123" s="195">
        <v>0</v>
      </c>
      <c r="I123" s="195">
        <v>0</v>
      </c>
      <c r="J123" s="195">
        <v>0</v>
      </c>
      <c r="K123" s="195">
        <v>0</v>
      </c>
      <c r="L123" s="195">
        <v>0</v>
      </c>
      <c r="M123" s="195">
        <v>0</v>
      </c>
      <c r="N123" s="195">
        <v>0</v>
      </c>
      <c r="O123" s="195">
        <v>0</v>
      </c>
    </row>
    <row r="124" spans="1:15" hidden="1" x14ac:dyDescent="0.25">
      <c r="A124" s="28">
        <v>691</v>
      </c>
      <c r="B124" s="74" t="s">
        <v>451</v>
      </c>
      <c r="C124" s="27"/>
      <c r="D124" s="195">
        <v>0</v>
      </c>
      <c r="E124" s="195">
        <v>0</v>
      </c>
      <c r="F124" s="195">
        <v>0</v>
      </c>
      <c r="G124" s="195">
        <v>0</v>
      </c>
      <c r="H124" s="195">
        <v>0</v>
      </c>
      <c r="I124" s="195">
        <v>0</v>
      </c>
      <c r="J124" s="195">
        <v>0</v>
      </c>
      <c r="K124" s="195">
        <v>0</v>
      </c>
      <c r="L124" s="195">
        <v>0</v>
      </c>
      <c r="M124" s="195">
        <v>0</v>
      </c>
      <c r="N124" s="195">
        <v>0</v>
      </c>
      <c r="O124" s="195">
        <v>0</v>
      </c>
    </row>
    <row r="125" spans="1:15" x14ac:dyDescent="0.25">
      <c r="A125" s="28">
        <v>704</v>
      </c>
      <c r="B125" s="74" t="s">
        <v>506</v>
      </c>
      <c r="C125" s="27"/>
      <c r="D125" s="195">
        <v>0</v>
      </c>
      <c r="E125" s="195">
        <v>0</v>
      </c>
      <c r="F125" s="195">
        <v>0</v>
      </c>
      <c r="G125" s="195">
        <v>0</v>
      </c>
      <c r="H125" s="195">
        <v>0</v>
      </c>
      <c r="I125" s="195">
        <v>0</v>
      </c>
      <c r="J125" s="195">
        <v>0</v>
      </c>
      <c r="K125" s="195">
        <v>0</v>
      </c>
      <c r="L125" s="195">
        <v>0</v>
      </c>
      <c r="M125" s="195">
        <v>29633.9</v>
      </c>
      <c r="N125" s="195">
        <v>0</v>
      </c>
      <c r="O125" s="195">
        <v>0</v>
      </c>
    </row>
    <row r="126" spans="1:15" hidden="1" x14ac:dyDescent="0.25">
      <c r="A126" s="28">
        <v>705</v>
      </c>
      <c r="B126" s="74" t="s">
        <v>507</v>
      </c>
      <c r="C126" s="27"/>
      <c r="D126" s="195">
        <v>0</v>
      </c>
      <c r="E126" s="195">
        <v>0</v>
      </c>
      <c r="F126" s="195">
        <v>0</v>
      </c>
      <c r="G126" s="195">
        <v>0</v>
      </c>
      <c r="H126" s="195">
        <v>0</v>
      </c>
      <c r="I126" s="195">
        <v>0</v>
      </c>
      <c r="J126" s="195">
        <v>0</v>
      </c>
      <c r="K126" s="195">
        <v>0</v>
      </c>
      <c r="L126" s="195">
        <v>0</v>
      </c>
      <c r="M126" s="195">
        <v>0</v>
      </c>
      <c r="N126" s="195">
        <v>0</v>
      </c>
      <c r="O126" s="195">
        <v>0</v>
      </c>
    </row>
    <row r="127" spans="1:15" hidden="1" x14ac:dyDescent="0.25">
      <c r="A127" s="28">
        <v>16</v>
      </c>
      <c r="B127" s="74" t="s">
        <v>448</v>
      </c>
      <c r="C127" s="27"/>
      <c r="D127" s="195">
        <v>0</v>
      </c>
      <c r="E127" s="195">
        <v>0</v>
      </c>
      <c r="F127" s="195">
        <v>0</v>
      </c>
      <c r="G127" s="195">
        <v>0</v>
      </c>
      <c r="H127" s="195">
        <v>0</v>
      </c>
      <c r="I127" s="195">
        <v>0</v>
      </c>
      <c r="J127" s="195">
        <v>0</v>
      </c>
      <c r="K127" s="195">
        <v>0</v>
      </c>
      <c r="L127" s="195">
        <v>0</v>
      </c>
      <c r="M127" s="195">
        <v>0</v>
      </c>
      <c r="N127" s="195">
        <v>0</v>
      </c>
      <c r="O127" s="195">
        <v>0</v>
      </c>
    </row>
    <row r="128" spans="1:15" hidden="1" x14ac:dyDescent="0.25">
      <c r="A128" s="28">
        <v>17</v>
      </c>
      <c r="B128" s="74" t="s">
        <v>466</v>
      </c>
      <c r="C128" s="27"/>
      <c r="D128" s="195">
        <v>0</v>
      </c>
      <c r="E128" s="195">
        <v>0</v>
      </c>
      <c r="F128" s="195">
        <v>0</v>
      </c>
      <c r="G128" s="195">
        <v>0</v>
      </c>
      <c r="H128" s="195">
        <v>0</v>
      </c>
      <c r="I128" s="195">
        <v>0</v>
      </c>
      <c r="J128" s="195">
        <v>0</v>
      </c>
      <c r="K128" s="195">
        <v>0</v>
      </c>
      <c r="L128" s="195">
        <v>0</v>
      </c>
      <c r="M128" s="195">
        <v>0</v>
      </c>
      <c r="N128" s="195">
        <v>0</v>
      </c>
      <c r="O128" s="195">
        <v>0</v>
      </c>
    </row>
    <row r="129" spans="1:15" x14ac:dyDescent="0.25">
      <c r="A129" s="28">
        <v>761</v>
      </c>
      <c r="B129" s="74" t="s">
        <v>603</v>
      </c>
      <c r="C129" s="27"/>
      <c r="D129" s="195">
        <v>0</v>
      </c>
      <c r="E129" s="195">
        <v>0</v>
      </c>
      <c r="F129" s="195">
        <v>0</v>
      </c>
      <c r="G129" s="195">
        <v>0</v>
      </c>
      <c r="H129" s="195">
        <v>0</v>
      </c>
      <c r="I129" s="195">
        <v>0</v>
      </c>
      <c r="J129" s="195">
        <v>0</v>
      </c>
      <c r="K129" s="195">
        <v>0</v>
      </c>
      <c r="L129" s="195">
        <v>0</v>
      </c>
      <c r="M129" s="195">
        <v>0</v>
      </c>
      <c r="N129" s="195">
        <v>0</v>
      </c>
      <c r="O129" s="195">
        <v>879.02</v>
      </c>
    </row>
    <row r="130" spans="1:15" x14ac:dyDescent="0.25">
      <c r="A130" s="28">
        <v>701</v>
      </c>
      <c r="B130" s="74" t="s">
        <v>476</v>
      </c>
      <c r="C130" s="27"/>
      <c r="D130" s="195">
        <v>0</v>
      </c>
      <c r="E130" s="195">
        <v>0</v>
      </c>
      <c r="F130" s="195">
        <v>0</v>
      </c>
      <c r="G130" s="195">
        <v>0</v>
      </c>
      <c r="H130" s="195">
        <v>0</v>
      </c>
      <c r="I130" s="195">
        <v>0</v>
      </c>
      <c r="J130" s="195">
        <v>0</v>
      </c>
      <c r="K130" s="195">
        <v>0</v>
      </c>
      <c r="L130" s="195">
        <v>0</v>
      </c>
      <c r="M130" s="195">
        <v>955.63</v>
      </c>
      <c r="N130" s="195">
        <v>1194.53</v>
      </c>
      <c r="O130" s="195">
        <v>1433.43</v>
      </c>
    </row>
    <row r="131" spans="1:15" x14ac:dyDescent="0.25">
      <c r="A131" s="28">
        <v>702</v>
      </c>
      <c r="B131" s="74" t="s">
        <v>477</v>
      </c>
      <c r="C131" s="27"/>
      <c r="D131" s="195">
        <v>0</v>
      </c>
      <c r="E131" s="195">
        <v>0</v>
      </c>
      <c r="F131" s="195">
        <v>0</v>
      </c>
      <c r="G131" s="195">
        <v>0</v>
      </c>
      <c r="H131" s="195">
        <v>0</v>
      </c>
      <c r="I131" s="195">
        <v>0</v>
      </c>
      <c r="J131" s="195">
        <v>0</v>
      </c>
      <c r="K131" s="195">
        <v>0</v>
      </c>
      <c r="L131" s="195">
        <v>0</v>
      </c>
      <c r="M131" s="195">
        <v>2017.81</v>
      </c>
      <c r="N131" s="195">
        <v>2522.27</v>
      </c>
      <c r="O131" s="195">
        <v>3026.73</v>
      </c>
    </row>
    <row r="132" spans="1:15" x14ac:dyDescent="0.25">
      <c r="A132" s="28" t="s">
        <v>554</v>
      </c>
      <c r="B132" s="74" t="s">
        <v>555</v>
      </c>
      <c r="C132" s="27"/>
      <c r="D132" s="195">
        <v>0</v>
      </c>
      <c r="E132" s="195">
        <v>0</v>
      </c>
      <c r="F132" s="195">
        <v>0</v>
      </c>
      <c r="G132" s="195">
        <v>0</v>
      </c>
      <c r="H132" s="195">
        <v>0</v>
      </c>
      <c r="I132" s="195">
        <v>0</v>
      </c>
      <c r="J132" s="195">
        <v>0</v>
      </c>
      <c r="K132" s="195">
        <v>0</v>
      </c>
      <c r="L132" s="195">
        <v>0</v>
      </c>
      <c r="M132" s="195">
        <v>65.73</v>
      </c>
      <c r="N132" s="195">
        <v>78.87</v>
      </c>
      <c r="O132" s="195">
        <v>92.01</v>
      </c>
    </row>
    <row r="133" spans="1:15" x14ac:dyDescent="0.25">
      <c r="A133" s="28" t="s">
        <v>591</v>
      </c>
      <c r="B133" s="74" t="s">
        <v>592</v>
      </c>
      <c r="C133" s="27"/>
      <c r="D133" s="195">
        <v>0</v>
      </c>
      <c r="E133" s="195">
        <v>0</v>
      </c>
      <c r="F133" s="195">
        <v>0</v>
      </c>
      <c r="G133" s="195">
        <v>0</v>
      </c>
      <c r="H133" s="195">
        <v>0</v>
      </c>
      <c r="I133" s="195">
        <v>0</v>
      </c>
      <c r="J133" s="195">
        <v>0</v>
      </c>
      <c r="K133" s="195">
        <v>0</v>
      </c>
      <c r="L133" s="195">
        <v>0</v>
      </c>
      <c r="M133" s="195">
        <v>240.27</v>
      </c>
      <c r="N133" s="195">
        <v>235.42</v>
      </c>
      <c r="O133" s="195">
        <v>134.93</v>
      </c>
    </row>
    <row r="134" spans="1:15" x14ac:dyDescent="0.25">
      <c r="A134" s="28" t="s">
        <v>619</v>
      </c>
      <c r="B134" s="74" t="s">
        <v>620</v>
      </c>
      <c r="C134" s="27"/>
      <c r="D134" s="195">
        <v>0</v>
      </c>
      <c r="E134" s="195">
        <v>0</v>
      </c>
      <c r="F134" s="195">
        <v>0</v>
      </c>
      <c r="G134" s="195">
        <v>0</v>
      </c>
      <c r="H134" s="195">
        <v>0</v>
      </c>
      <c r="I134" s="195">
        <v>0</v>
      </c>
      <c r="J134" s="195">
        <v>0</v>
      </c>
      <c r="K134" s="195">
        <v>0</v>
      </c>
      <c r="L134" s="195">
        <v>0</v>
      </c>
      <c r="M134" s="195">
        <v>499.5</v>
      </c>
      <c r="N134" s="195">
        <v>582.75</v>
      </c>
      <c r="O134" s="195">
        <v>666</v>
      </c>
    </row>
    <row r="135" spans="1:15" ht="13.8" thickBot="1" x14ac:dyDescent="0.3">
      <c r="A135" s="28" t="s">
        <v>593</v>
      </c>
      <c r="B135" s="74" t="s">
        <v>594</v>
      </c>
      <c r="C135" s="27"/>
      <c r="D135" s="195">
        <v>0</v>
      </c>
      <c r="E135" s="195">
        <v>0</v>
      </c>
      <c r="F135" s="195">
        <v>0</v>
      </c>
      <c r="G135" s="195">
        <v>0</v>
      </c>
      <c r="H135" s="195">
        <v>0</v>
      </c>
      <c r="I135" s="195">
        <v>0</v>
      </c>
      <c r="J135" s="195">
        <v>0</v>
      </c>
      <c r="K135" s="195">
        <v>0</v>
      </c>
      <c r="L135" s="195">
        <v>0</v>
      </c>
      <c r="M135" s="195">
        <v>1042.04</v>
      </c>
      <c r="N135" s="195">
        <v>1157.82</v>
      </c>
      <c r="O135" s="195">
        <v>1273.5999999999999</v>
      </c>
    </row>
    <row r="136" spans="1:15" ht="13.8" thickBot="1" x14ac:dyDescent="0.3">
      <c r="A136" s="1"/>
      <c r="B136" s="42" t="s">
        <v>55</v>
      </c>
      <c r="C136" s="9"/>
      <c r="D136" s="11">
        <f>SUM(D5:D135)</f>
        <v>0</v>
      </c>
      <c r="E136" s="11">
        <f>SUM(E5:E135)</f>
        <v>0</v>
      </c>
      <c r="F136" s="11">
        <f t="shared" ref="F136:J136" si="0">SUM(F5:F135)</f>
        <v>0</v>
      </c>
      <c r="G136" s="11">
        <f t="shared" si="0"/>
        <v>0</v>
      </c>
      <c r="H136" s="11">
        <f t="shared" si="0"/>
        <v>0</v>
      </c>
      <c r="I136" s="11">
        <f t="shared" si="0"/>
        <v>0</v>
      </c>
      <c r="J136" s="11">
        <f t="shared" si="0"/>
        <v>0</v>
      </c>
      <c r="K136" s="11">
        <f t="shared" ref="K136:O136" si="1">SUM(K5:K135)</f>
        <v>0</v>
      </c>
      <c r="L136" s="11">
        <f t="shared" si="1"/>
        <v>0</v>
      </c>
      <c r="M136" s="11">
        <f>SUM(M5:M135)</f>
        <v>7650601.8899999997</v>
      </c>
      <c r="N136" s="11">
        <f>SUM(N5:N135)</f>
        <v>8117463.4000000004</v>
      </c>
      <c r="O136" s="11">
        <f t="shared" si="1"/>
        <v>8380180.0199999996</v>
      </c>
    </row>
    <row r="137" spans="1:15" ht="13.8" thickBot="1" x14ac:dyDescent="0.3">
      <c r="A137" s="65"/>
      <c r="B137" s="69"/>
      <c r="F137" s="12"/>
      <c r="M137" s="12"/>
      <c r="N137" s="12"/>
      <c r="O137" s="66"/>
    </row>
    <row r="138" spans="1:15" ht="13.8" thickBot="1" x14ac:dyDescent="0.3">
      <c r="A138" s="209"/>
      <c r="B138" s="210" t="s">
        <v>469</v>
      </c>
      <c r="C138" s="210"/>
      <c r="D138" s="210"/>
      <c r="E138" s="210"/>
      <c r="F138" s="210"/>
      <c r="G138" s="210"/>
      <c r="H138" s="210"/>
      <c r="I138" s="210"/>
      <c r="J138" s="210"/>
      <c r="K138" s="210"/>
      <c r="L138" s="210"/>
      <c r="M138" s="210"/>
      <c r="N138" s="210"/>
      <c r="O138" s="203"/>
    </row>
    <row r="139" spans="1:15" ht="13.8" thickBot="1" x14ac:dyDescent="0.3">
      <c r="A139" s="212"/>
      <c r="B139" s="351" t="s">
        <v>595</v>
      </c>
      <c r="C139" s="352" t="s">
        <v>1</v>
      </c>
      <c r="D139" s="213">
        <f>D2</f>
        <v>46022</v>
      </c>
      <c r="E139" s="213">
        <f t="shared" ref="E139:O139" si="2">E2</f>
        <v>45991</v>
      </c>
      <c r="F139" s="213">
        <f t="shared" si="2"/>
        <v>45961</v>
      </c>
      <c r="G139" s="213">
        <f t="shared" si="2"/>
        <v>45930</v>
      </c>
      <c r="H139" s="213">
        <f t="shared" si="2"/>
        <v>45900</v>
      </c>
      <c r="I139" s="213">
        <f t="shared" si="2"/>
        <v>45869</v>
      </c>
      <c r="J139" s="213">
        <f t="shared" si="2"/>
        <v>45838</v>
      </c>
      <c r="K139" s="213">
        <f t="shared" si="2"/>
        <v>45808</v>
      </c>
      <c r="L139" s="213">
        <f t="shared" si="2"/>
        <v>45777</v>
      </c>
      <c r="M139" s="213">
        <f t="shared" si="2"/>
        <v>45747</v>
      </c>
      <c r="N139" s="213">
        <f t="shared" si="2"/>
        <v>45716</v>
      </c>
      <c r="O139" s="213">
        <f t="shared" si="2"/>
        <v>45688</v>
      </c>
    </row>
    <row r="140" spans="1:15" x14ac:dyDescent="0.25">
      <c r="A140" s="14">
        <v>757</v>
      </c>
      <c r="B140" s="214" t="s">
        <v>466</v>
      </c>
      <c r="C140" s="360"/>
      <c r="D140" s="357">
        <v>0</v>
      </c>
      <c r="E140" s="357">
        <v>0</v>
      </c>
      <c r="F140" s="357">
        <v>0</v>
      </c>
      <c r="G140" s="357">
        <v>0</v>
      </c>
      <c r="H140" s="357">
        <v>0</v>
      </c>
      <c r="I140" s="357">
        <v>0</v>
      </c>
      <c r="J140" s="357">
        <v>0</v>
      </c>
      <c r="K140" s="357">
        <v>0</v>
      </c>
      <c r="L140" s="357">
        <v>0</v>
      </c>
      <c r="M140" s="357">
        <v>8086.88</v>
      </c>
      <c r="N140" s="194">
        <v>8086.88</v>
      </c>
      <c r="O140" s="350">
        <v>8086.88</v>
      </c>
    </row>
    <row r="141" spans="1:15" ht="13.8" thickBot="1" x14ac:dyDescent="0.3">
      <c r="A141" s="15">
        <v>771</v>
      </c>
      <c r="B141" s="216" t="s">
        <v>603</v>
      </c>
      <c r="C141" s="361"/>
      <c r="D141" s="358"/>
      <c r="E141" s="358"/>
      <c r="F141" s="358"/>
      <c r="G141" s="358"/>
      <c r="H141" s="358"/>
      <c r="I141" s="358"/>
      <c r="J141" s="358"/>
      <c r="K141" s="358"/>
      <c r="L141" s="358"/>
      <c r="M141" s="358">
        <v>879.02</v>
      </c>
      <c r="N141" s="196">
        <v>879.02</v>
      </c>
      <c r="O141" s="359">
        <v>0</v>
      </c>
    </row>
    <row r="142" spans="1:15" ht="13.8" thickBot="1" x14ac:dyDescent="0.3">
      <c r="A142" s="353"/>
      <c r="B142" s="354" t="s">
        <v>596</v>
      </c>
      <c r="C142" s="355"/>
      <c r="D142" s="356">
        <f>SUM(D140)</f>
        <v>0</v>
      </c>
      <c r="E142" s="356">
        <f>E140</f>
        <v>0</v>
      </c>
      <c r="F142" s="356">
        <f>SUM(F140)</f>
        <v>0</v>
      </c>
      <c r="G142" s="356">
        <f>SUM(G140)</f>
        <v>0</v>
      </c>
      <c r="H142" s="356">
        <f>SUM(H140)</f>
        <v>0</v>
      </c>
      <c r="I142" s="356">
        <f>SUM(I140)</f>
        <v>0</v>
      </c>
      <c r="J142" s="356">
        <f>J140</f>
        <v>0</v>
      </c>
      <c r="K142" s="356">
        <f>SUM(K140)</f>
        <v>0</v>
      </c>
      <c r="L142" s="356">
        <f>SUM(L140)</f>
        <v>0</v>
      </c>
      <c r="M142" s="356">
        <f>SUM(M140:M141)</f>
        <v>8965.9</v>
      </c>
      <c r="N142" s="356">
        <f>SUM(N140:N141)</f>
        <v>8965.9</v>
      </c>
      <c r="O142" s="356">
        <f>O140</f>
        <v>8086.88</v>
      </c>
    </row>
    <row r="143" spans="1:15" ht="13.8" thickBot="1" x14ac:dyDescent="0.3">
      <c r="A143" s="6"/>
      <c r="B143" s="74"/>
      <c r="C143" s="63"/>
      <c r="D143" s="276"/>
      <c r="E143" s="276"/>
      <c r="F143" s="276"/>
      <c r="G143" s="276"/>
      <c r="H143" s="276"/>
      <c r="I143" s="276"/>
      <c r="J143" s="276"/>
      <c r="K143" s="276"/>
      <c r="L143" s="276"/>
      <c r="M143" s="276"/>
      <c r="N143" s="276"/>
      <c r="O143" s="276"/>
    </row>
    <row r="144" spans="1:15" ht="13.8" thickBot="1" x14ac:dyDescent="0.3">
      <c r="A144" s="8"/>
      <c r="B144" s="42" t="s">
        <v>56</v>
      </c>
      <c r="C144" s="41" t="s">
        <v>1</v>
      </c>
      <c r="D144" s="49">
        <f>D2</f>
        <v>46022</v>
      </c>
      <c r="E144" s="49">
        <f t="shared" ref="E144:O144" si="3">E2</f>
        <v>45991</v>
      </c>
      <c r="F144" s="49">
        <f t="shared" si="3"/>
        <v>45961</v>
      </c>
      <c r="G144" s="49">
        <f t="shared" si="3"/>
        <v>45930</v>
      </c>
      <c r="H144" s="49">
        <f t="shared" si="3"/>
        <v>45900</v>
      </c>
      <c r="I144" s="49">
        <f t="shared" si="3"/>
        <v>45869</v>
      </c>
      <c r="J144" s="49">
        <f t="shared" si="3"/>
        <v>45838</v>
      </c>
      <c r="K144" s="49">
        <f t="shared" si="3"/>
        <v>45808</v>
      </c>
      <c r="L144" s="49">
        <f t="shared" si="3"/>
        <v>45777</v>
      </c>
      <c r="M144" s="49">
        <f t="shared" si="3"/>
        <v>45747</v>
      </c>
      <c r="N144" s="49">
        <f t="shared" si="3"/>
        <v>45716</v>
      </c>
      <c r="O144" s="49">
        <f t="shared" si="3"/>
        <v>45688</v>
      </c>
    </row>
    <row r="145" spans="1:17" x14ac:dyDescent="0.25">
      <c r="A145" s="14">
        <v>43</v>
      </c>
      <c r="B145" s="74" t="s">
        <v>57</v>
      </c>
      <c r="C145" s="190"/>
      <c r="D145" s="67">
        <v>0</v>
      </c>
      <c r="E145" s="67">
        <v>0</v>
      </c>
      <c r="F145" s="67">
        <v>0</v>
      </c>
      <c r="G145" s="67">
        <v>0</v>
      </c>
      <c r="H145" s="67">
        <v>0</v>
      </c>
      <c r="I145" s="67">
        <v>0</v>
      </c>
      <c r="J145" s="67">
        <v>0</v>
      </c>
      <c r="K145" s="67">
        <v>0</v>
      </c>
      <c r="L145" s="67">
        <v>0</v>
      </c>
      <c r="M145" s="67">
        <v>8649.57</v>
      </c>
      <c r="N145" s="67">
        <v>8649.57</v>
      </c>
      <c r="O145" s="67">
        <v>8649.57</v>
      </c>
      <c r="P145" s="144"/>
    </row>
    <row r="146" spans="1:17" x14ac:dyDescent="0.25">
      <c r="A146" s="6">
        <v>44</v>
      </c>
      <c r="B146" s="74" t="s">
        <v>58</v>
      </c>
      <c r="C146" s="191"/>
      <c r="D146" s="68">
        <v>0</v>
      </c>
      <c r="E146" s="68">
        <v>0</v>
      </c>
      <c r="F146" s="68">
        <v>0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  <c r="L146" s="68">
        <v>0</v>
      </c>
      <c r="M146" s="68">
        <v>13858.02</v>
      </c>
      <c r="N146" s="68">
        <v>13858.02</v>
      </c>
      <c r="O146" s="68">
        <v>13858.02</v>
      </c>
      <c r="P146" s="144"/>
    </row>
    <row r="147" spans="1:17" x14ac:dyDescent="0.25">
      <c r="A147" s="6">
        <v>48</v>
      </c>
      <c r="B147" s="74" t="s">
        <v>59</v>
      </c>
      <c r="C147" s="191"/>
      <c r="D147" s="68">
        <v>0</v>
      </c>
      <c r="E147" s="68">
        <v>0</v>
      </c>
      <c r="F147" s="68">
        <v>0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  <c r="L147" s="68">
        <v>0</v>
      </c>
      <c r="M147" s="68">
        <v>34764.550000000003</v>
      </c>
      <c r="N147" s="68">
        <v>34764.550000000003</v>
      </c>
      <c r="O147" s="68">
        <v>34764.550000000003</v>
      </c>
      <c r="P147" s="144"/>
    </row>
    <row r="148" spans="1:17" x14ac:dyDescent="0.25">
      <c r="A148" s="6">
        <v>50</v>
      </c>
      <c r="B148" s="74" t="s">
        <v>60</v>
      </c>
      <c r="C148" s="191"/>
      <c r="D148" s="68">
        <v>0</v>
      </c>
      <c r="E148" s="68">
        <v>0</v>
      </c>
      <c r="F148" s="68">
        <v>0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  <c r="L148" s="68">
        <v>0</v>
      </c>
      <c r="M148" s="68">
        <v>195580</v>
      </c>
      <c r="N148" s="68">
        <v>195580</v>
      </c>
      <c r="O148" s="68">
        <v>195580</v>
      </c>
      <c r="P148" s="144"/>
    </row>
    <row r="149" spans="1:17" x14ac:dyDescent="0.25">
      <c r="A149" s="6">
        <v>326</v>
      </c>
      <c r="B149" s="74" t="s">
        <v>61</v>
      </c>
      <c r="C149" s="191"/>
      <c r="D149" s="68">
        <v>0</v>
      </c>
      <c r="E149" s="68">
        <v>0</v>
      </c>
      <c r="F149" s="68">
        <v>0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  <c r="L149" s="68">
        <v>0</v>
      </c>
      <c r="M149" s="68">
        <v>646784.51</v>
      </c>
      <c r="N149" s="68">
        <v>646784.51</v>
      </c>
      <c r="O149" s="68">
        <v>646784.51</v>
      </c>
      <c r="P149" s="144"/>
    </row>
    <row r="150" spans="1:17" x14ac:dyDescent="0.25">
      <c r="A150" s="6">
        <v>394</v>
      </c>
      <c r="B150" s="74" t="s">
        <v>62</v>
      </c>
      <c r="C150" s="191"/>
      <c r="D150" s="68">
        <v>0</v>
      </c>
      <c r="E150" s="68">
        <v>0</v>
      </c>
      <c r="F150" s="68">
        <v>0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  <c r="L150" s="68">
        <v>0</v>
      </c>
      <c r="M150" s="68">
        <v>4382.0600000000004</v>
      </c>
      <c r="N150" s="68">
        <v>4382.0600000000004</v>
      </c>
      <c r="O150" s="68">
        <v>4382.0600000000004</v>
      </c>
      <c r="P150" s="144"/>
    </row>
    <row r="151" spans="1:17" x14ac:dyDescent="0.25">
      <c r="A151" s="6">
        <v>398</v>
      </c>
      <c r="B151" s="74" t="s">
        <v>63</v>
      </c>
      <c r="C151" s="191"/>
      <c r="D151" s="68">
        <v>0</v>
      </c>
      <c r="E151" s="68">
        <v>0</v>
      </c>
      <c r="F151" s="68">
        <v>0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  <c r="L151" s="68">
        <v>0</v>
      </c>
      <c r="M151" s="68">
        <v>95033.82</v>
      </c>
      <c r="N151" s="68">
        <v>88739.33</v>
      </c>
      <c r="O151" s="68">
        <v>88739.33</v>
      </c>
      <c r="P151" s="144"/>
    </row>
    <row r="152" spans="1:17" x14ac:dyDescent="0.25">
      <c r="A152" s="6">
        <v>407</v>
      </c>
      <c r="B152" s="74" t="s">
        <v>64</v>
      </c>
      <c r="C152" s="191"/>
      <c r="D152" s="68">
        <v>0</v>
      </c>
      <c r="E152" s="68">
        <v>0</v>
      </c>
      <c r="F152" s="68">
        <v>0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  <c r="L152" s="68">
        <v>0</v>
      </c>
      <c r="M152" s="68">
        <v>60565.49</v>
      </c>
      <c r="N152" s="68">
        <v>60565.49</v>
      </c>
      <c r="O152" s="68">
        <v>60565.49</v>
      </c>
      <c r="P152" s="144"/>
    </row>
    <row r="153" spans="1:17" x14ac:dyDescent="0.25">
      <c r="A153" s="6">
        <v>429</v>
      </c>
      <c r="B153" s="74" t="s">
        <v>65</v>
      </c>
      <c r="C153" s="191"/>
      <c r="D153" s="68">
        <v>0</v>
      </c>
      <c r="E153" s="68">
        <v>0</v>
      </c>
      <c r="F153" s="68">
        <v>0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  <c r="L153" s="68">
        <v>0</v>
      </c>
      <c r="M153" s="68">
        <v>503443.79</v>
      </c>
      <c r="N153" s="68">
        <v>503443.79</v>
      </c>
      <c r="O153" s="68">
        <v>503443.79</v>
      </c>
      <c r="P153" s="144"/>
      <c r="Q153" s="12"/>
    </row>
    <row r="154" spans="1:17" x14ac:dyDescent="0.25">
      <c r="A154" s="6">
        <v>539</v>
      </c>
      <c r="B154" s="74" t="s">
        <v>66</v>
      </c>
      <c r="C154" s="191"/>
      <c r="D154" s="68">
        <v>0</v>
      </c>
      <c r="E154" s="68">
        <v>0</v>
      </c>
      <c r="F154" s="68">
        <v>0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  <c r="L154" s="68">
        <v>0</v>
      </c>
      <c r="M154" s="68">
        <v>609852.72</v>
      </c>
      <c r="N154" s="68">
        <v>609852.72</v>
      </c>
      <c r="O154" s="68">
        <v>609852.72</v>
      </c>
      <c r="P154" s="144"/>
    </row>
    <row r="155" spans="1:17" x14ac:dyDescent="0.25">
      <c r="A155" s="6">
        <v>623</v>
      </c>
      <c r="B155" s="74" t="s">
        <v>67</v>
      </c>
      <c r="C155" s="191"/>
      <c r="D155" s="68">
        <v>0</v>
      </c>
      <c r="E155" s="68">
        <v>0</v>
      </c>
      <c r="F155" s="68">
        <v>0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  <c r="L155" s="68">
        <v>0</v>
      </c>
      <c r="M155" s="68">
        <v>15942.13</v>
      </c>
      <c r="N155" s="68">
        <v>15942.13</v>
      </c>
      <c r="O155" s="68">
        <v>15942.13</v>
      </c>
      <c r="P155" s="144"/>
    </row>
    <row r="156" spans="1:17" x14ac:dyDescent="0.25">
      <c r="A156" s="6">
        <v>764</v>
      </c>
      <c r="B156" s="74" t="s">
        <v>613</v>
      </c>
      <c r="C156" s="191"/>
      <c r="D156" s="68">
        <v>0</v>
      </c>
      <c r="E156" s="68">
        <v>0</v>
      </c>
      <c r="F156" s="68">
        <v>0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  <c r="L156" s="68">
        <v>0</v>
      </c>
      <c r="M156" s="68">
        <v>77489.899999999994</v>
      </c>
      <c r="N156" s="68">
        <v>77489.899999999994</v>
      </c>
      <c r="O156" s="68">
        <v>77489.899999999994</v>
      </c>
      <c r="P156" s="144"/>
    </row>
    <row r="157" spans="1:17" ht="13.8" thickBot="1" x14ac:dyDescent="0.3">
      <c r="A157" s="15">
        <v>229</v>
      </c>
      <c r="B157" s="109" t="s">
        <v>68</v>
      </c>
      <c r="C157" s="192"/>
      <c r="D157" s="68">
        <v>0</v>
      </c>
      <c r="E157" s="68">
        <v>0</v>
      </c>
      <c r="F157" s="68">
        <v>0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  <c r="L157" s="68">
        <v>0</v>
      </c>
      <c r="M157" s="68">
        <v>-1033828.73</v>
      </c>
      <c r="N157" s="68">
        <v>-1013637.14</v>
      </c>
      <c r="O157" s="68">
        <v>-993445.55</v>
      </c>
      <c r="P157" s="144"/>
    </row>
    <row r="158" spans="1:17" ht="13.8" thickBot="1" x14ac:dyDescent="0.3">
      <c r="A158" s="8"/>
      <c r="B158" s="42" t="s">
        <v>69</v>
      </c>
      <c r="C158" s="16">
        <f t="shared" ref="C158:L158" si="4">SUM(C145:C157)</f>
        <v>0</v>
      </c>
      <c r="D158" s="16">
        <f>SUM(D145:D157)</f>
        <v>0</v>
      </c>
      <c r="E158" s="16">
        <f>SUM(E145:E157)</f>
        <v>0</v>
      </c>
      <c r="F158" s="16">
        <f t="shared" ref="F158:K158" si="5">SUM(F145:F157)</f>
        <v>0</v>
      </c>
      <c r="G158" s="16">
        <f t="shared" si="5"/>
        <v>0</v>
      </c>
      <c r="H158" s="16">
        <f t="shared" si="5"/>
        <v>0</v>
      </c>
      <c r="I158" s="39">
        <f t="shared" si="5"/>
        <v>0</v>
      </c>
      <c r="J158" s="16">
        <f t="shared" si="5"/>
        <v>0</v>
      </c>
      <c r="K158" s="16">
        <f t="shared" si="5"/>
        <v>0</v>
      </c>
      <c r="L158" s="16">
        <f t="shared" si="4"/>
        <v>0</v>
      </c>
      <c r="M158" s="16">
        <f>SUM(M145:M157)</f>
        <v>1232517.83</v>
      </c>
      <c r="N158" s="16">
        <f>SUM(N145:N157)</f>
        <v>1246414.9299999997</v>
      </c>
      <c r="O158" s="16">
        <f t="shared" ref="O158" si="6">SUM(O145:O157)</f>
        <v>1266606.5199999998</v>
      </c>
    </row>
    <row r="159" spans="1:17" ht="13.8" thickBot="1" x14ac:dyDescent="0.3">
      <c r="A159" s="26"/>
      <c r="B159" s="69"/>
      <c r="C159" s="12"/>
      <c r="O159" s="66"/>
    </row>
    <row r="160" spans="1:17" ht="13.8" thickBot="1" x14ac:dyDescent="0.3">
      <c r="A160" s="8"/>
      <c r="B160" s="42" t="s">
        <v>597</v>
      </c>
      <c r="C160" s="16">
        <f t="shared" ref="C160" si="7">SUM(C147:C159)</f>
        <v>0</v>
      </c>
      <c r="D160" s="16">
        <f>SUM(D142+D158)</f>
        <v>0</v>
      </c>
      <c r="E160" s="16">
        <f>SUM(E142+E158)</f>
        <v>0</v>
      </c>
      <c r="F160" s="16">
        <f>SUM(F142+F158)</f>
        <v>0</v>
      </c>
      <c r="G160" s="16">
        <f>SUM(G142+G158)</f>
        <v>0</v>
      </c>
      <c r="H160" s="16">
        <f>SUM(H142+H158)</f>
        <v>0</v>
      </c>
      <c r="I160" s="39">
        <f>SUM(I158,I142)</f>
        <v>0</v>
      </c>
      <c r="J160" s="16">
        <f>SUM(J158,J142)</f>
        <v>0</v>
      </c>
      <c r="K160" s="16">
        <f>SUM(K142,K158)</f>
        <v>0</v>
      </c>
      <c r="L160" s="16">
        <f>SUM(L142,L158)</f>
        <v>0</v>
      </c>
      <c r="M160" s="16">
        <f>SUM(M142+M158)</f>
        <v>1241483.73</v>
      </c>
      <c r="N160" s="16">
        <f>N142+N158</f>
        <v>1255380.8299999996</v>
      </c>
      <c r="O160" s="16">
        <f>SUM(O158+O142)</f>
        <v>1274693.3999999997</v>
      </c>
    </row>
    <row r="161" spans="1:17" ht="13.8" thickBot="1" x14ac:dyDescent="0.3">
      <c r="A161" s="26"/>
      <c r="B161" s="69"/>
      <c r="C161" s="12"/>
      <c r="O161" s="66"/>
    </row>
    <row r="162" spans="1:17" ht="13.8" thickBot="1" x14ac:dyDescent="0.3">
      <c r="A162" s="7"/>
      <c r="B162" s="90" t="s">
        <v>70</v>
      </c>
      <c r="C162" s="17"/>
      <c r="D162" s="18">
        <f>D160+D136</f>
        <v>0</v>
      </c>
      <c r="E162" s="18">
        <f>E160+E136</f>
        <v>0</v>
      </c>
      <c r="F162" s="18">
        <f>F160+F136</f>
        <v>0</v>
      </c>
      <c r="G162" s="18">
        <f>G160+G136</f>
        <v>0</v>
      </c>
      <c r="H162" s="18">
        <f t="shared" ref="H162:L162" si="8">H160+H136</f>
        <v>0</v>
      </c>
      <c r="I162" s="81">
        <f t="shared" si="8"/>
        <v>0</v>
      </c>
      <c r="J162" s="18">
        <f t="shared" si="8"/>
        <v>0</v>
      </c>
      <c r="K162" s="18">
        <f t="shared" si="8"/>
        <v>0</v>
      </c>
      <c r="L162" s="18">
        <f t="shared" si="8"/>
        <v>0</v>
      </c>
      <c r="M162" s="18">
        <f>SUM(M136+M160)</f>
        <v>8892085.6199999992</v>
      </c>
      <c r="N162" s="18">
        <f>N158+N136+N142</f>
        <v>9372844.2300000004</v>
      </c>
      <c r="O162" s="18">
        <f>O158+O136+O142</f>
        <v>9654873.4199999999</v>
      </c>
    </row>
    <row r="163" spans="1:17" x14ac:dyDescent="0.25">
      <c r="A163" s="65"/>
      <c r="B163" s="69"/>
      <c r="F163" s="12" t="s">
        <v>71</v>
      </c>
      <c r="G163" s="12"/>
      <c r="H163" s="10"/>
      <c r="O163" s="277"/>
    </row>
    <row r="164" spans="1:17" x14ac:dyDescent="0.25">
      <c r="A164" s="65"/>
      <c r="B164" s="69"/>
      <c r="E164" s="21"/>
      <c r="L164" s="12"/>
      <c r="O164" s="66"/>
    </row>
    <row r="165" spans="1:17" ht="13.8" thickBot="1" x14ac:dyDescent="0.3">
      <c r="A165" s="65"/>
      <c r="E165" s="12"/>
      <c r="O165" s="66"/>
    </row>
    <row r="166" spans="1:17" ht="13.8" thickBot="1" x14ac:dyDescent="0.3">
      <c r="A166" s="373" t="s">
        <v>72</v>
      </c>
      <c r="B166" s="374"/>
      <c r="C166" s="203" t="s">
        <v>1</v>
      </c>
      <c r="D166" s="32">
        <f>D2</f>
        <v>46022</v>
      </c>
      <c r="E166" s="32">
        <f t="shared" ref="E166:O166" si="9">E2</f>
        <v>45991</v>
      </c>
      <c r="F166" s="32">
        <f t="shared" si="9"/>
        <v>45961</v>
      </c>
      <c r="G166" s="32">
        <f t="shared" si="9"/>
        <v>45930</v>
      </c>
      <c r="H166" s="32">
        <f t="shared" si="9"/>
        <v>45900</v>
      </c>
      <c r="I166" s="32">
        <f t="shared" si="9"/>
        <v>45869</v>
      </c>
      <c r="J166" s="32">
        <f t="shared" si="9"/>
        <v>45838</v>
      </c>
      <c r="K166" s="32">
        <f t="shared" si="9"/>
        <v>45808</v>
      </c>
      <c r="L166" s="32">
        <f t="shared" si="9"/>
        <v>45777</v>
      </c>
      <c r="M166" s="32">
        <f t="shared" si="9"/>
        <v>45747</v>
      </c>
      <c r="N166" s="32">
        <f t="shared" si="9"/>
        <v>45716</v>
      </c>
      <c r="O166" s="32">
        <f t="shared" si="9"/>
        <v>45688</v>
      </c>
    </row>
    <row r="167" spans="1:17" ht="13.8" thickBot="1" x14ac:dyDescent="0.3">
      <c r="A167" s="212"/>
      <c r="B167" s="279" t="s">
        <v>3</v>
      </c>
      <c r="C167" s="280" t="s">
        <v>1</v>
      </c>
      <c r="D167" s="213">
        <f>D2</f>
        <v>46022</v>
      </c>
      <c r="E167" s="213">
        <f t="shared" ref="E167:O167" si="10">E2</f>
        <v>45991</v>
      </c>
      <c r="F167" s="213">
        <f t="shared" si="10"/>
        <v>45961</v>
      </c>
      <c r="G167" s="213">
        <f t="shared" si="10"/>
        <v>45930</v>
      </c>
      <c r="H167" s="213">
        <f t="shared" si="10"/>
        <v>45900</v>
      </c>
      <c r="I167" s="213">
        <f t="shared" si="10"/>
        <v>45869</v>
      </c>
      <c r="J167" s="213">
        <f t="shared" si="10"/>
        <v>45838</v>
      </c>
      <c r="K167" s="213">
        <f t="shared" si="10"/>
        <v>45808</v>
      </c>
      <c r="L167" s="213">
        <f t="shared" si="10"/>
        <v>45777</v>
      </c>
      <c r="M167" s="213">
        <f t="shared" si="10"/>
        <v>45747</v>
      </c>
      <c r="N167" s="213">
        <f t="shared" si="10"/>
        <v>45716</v>
      </c>
      <c r="O167" s="213">
        <f t="shared" si="10"/>
        <v>45688</v>
      </c>
    </row>
    <row r="168" spans="1:17" x14ac:dyDescent="0.25">
      <c r="A168" s="14">
        <v>152</v>
      </c>
      <c r="B168" s="214" t="s">
        <v>609</v>
      </c>
      <c r="C168" s="234"/>
      <c r="D168" s="281">
        <v>0</v>
      </c>
      <c r="E168" s="281">
        <v>0</v>
      </c>
      <c r="F168" s="281">
        <v>0</v>
      </c>
      <c r="G168" s="281">
        <v>0</v>
      </c>
      <c r="H168" s="281">
        <v>0</v>
      </c>
      <c r="I168" s="281">
        <v>0</v>
      </c>
      <c r="J168" s="281">
        <v>0</v>
      </c>
      <c r="K168" s="281">
        <v>0</v>
      </c>
      <c r="L168" s="281">
        <v>0</v>
      </c>
      <c r="M168" s="281">
        <v>0</v>
      </c>
      <c r="N168" s="281">
        <v>0</v>
      </c>
      <c r="O168" s="194">
        <v>0</v>
      </c>
    </row>
    <row r="169" spans="1:17" hidden="1" x14ac:dyDescent="0.25">
      <c r="A169" s="6">
        <v>355</v>
      </c>
      <c r="B169" s="27" t="s">
        <v>73</v>
      </c>
      <c r="C169" s="31"/>
      <c r="D169" s="282">
        <v>0</v>
      </c>
      <c r="E169" s="282">
        <v>0</v>
      </c>
      <c r="F169" s="282">
        <v>0</v>
      </c>
      <c r="G169" s="282">
        <v>0</v>
      </c>
      <c r="H169" s="282">
        <v>0</v>
      </c>
      <c r="I169" s="282">
        <v>0</v>
      </c>
      <c r="J169" s="282">
        <v>0</v>
      </c>
      <c r="K169" s="282">
        <v>0</v>
      </c>
      <c r="L169" s="282">
        <v>0</v>
      </c>
      <c r="M169" s="282">
        <v>0</v>
      </c>
      <c r="N169" s="282">
        <v>0</v>
      </c>
      <c r="O169" s="195">
        <v>0</v>
      </c>
      <c r="P169" s="178"/>
    </row>
    <row r="170" spans="1:17" hidden="1" x14ac:dyDescent="0.25">
      <c r="A170" s="53">
        <v>153</v>
      </c>
      <c r="B170" s="27" t="s">
        <v>74</v>
      </c>
      <c r="C170" s="31"/>
      <c r="D170" s="282">
        <v>0</v>
      </c>
      <c r="E170" s="282">
        <v>0</v>
      </c>
      <c r="F170" s="282">
        <v>0</v>
      </c>
      <c r="G170" s="282">
        <v>0</v>
      </c>
      <c r="H170" s="282">
        <v>0</v>
      </c>
      <c r="I170" s="282">
        <v>0</v>
      </c>
      <c r="J170" s="282">
        <v>0</v>
      </c>
      <c r="K170" s="282">
        <v>0</v>
      </c>
      <c r="L170" s="282">
        <v>0</v>
      </c>
      <c r="M170" s="282">
        <v>0</v>
      </c>
      <c r="N170" s="282">
        <v>0</v>
      </c>
      <c r="O170" s="195">
        <v>0</v>
      </c>
    </row>
    <row r="171" spans="1:17" hidden="1" x14ac:dyDescent="0.25">
      <c r="A171" s="53">
        <v>729</v>
      </c>
      <c r="B171" s="27" t="s">
        <v>546</v>
      </c>
      <c r="C171" s="31"/>
      <c r="D171" s="282">
        <v>0</v>
      </c>
      <c r="E171" s="282">
        <v>0</v>
      </c>
      <c r="F171" s="282">
        <v>0</v>
      </c>
      <c r="G171" s="282">
        <v>0</v>
      </c>
      <c r="H171" s="282">
        <v>0</v>
      </c>
      <c r="I171" s="282">
        <v>0</v>
      </c>
      <c r="J171" s="282">
        <v>0</v>
      </c>
      <c r="K171" s="282">
        <v>0</v>
      </c>
      <c r="L171" s="282">
        <v>0</v>
      </c>
      <c r="M171" s="282">
        <v>0</v>
      </c>
      <c r="N171" s="282">
        <v>0</v>
      </c>
      <c r="O171" s="195">
        <v>0</v>
      </c>
    </row>
    <row r="172" spans="1:17" x14ac:dyDescent="0.25">
      <c r="A172" s="53">
        <v>758</v>
      </c>
      <c r="B172" s="27" t="s">
        <v>598</v>
      </c>
      <c r="C172" s="31"/>
      <c r="D172" s="282">
        <v>0</v>
      </c>
      <c r="E172" s="282">
        <v>0</v>
      </c>
      <c r="F172" s="282">
        <v>0</v>
      </c>
      <c r="G172" s="282">
        <v>0</v>
      </c>
      <c r="H172" s="282">
        <v>0</v>
      </c>
      <c r="I172" s="282">
        <v>0</v>
      </c>
      <c r="J172" s="282">
        <v>0</v>
      </c>
      <c r="K172" s="282">
        <v>0</v>
      </c>
      <c r="L172" s="282">
        <v>0</v>
      </c>
      <c r="M172" s="282">
        <v>59678.33</v>
      </c>
      <c r="N172" s="282">
        <v>65183.41</v>
      </c>
      <c r="O172" s="195">
        <v>53762.02</v>
      </c>
    </row>
    <row r="173" spans="1:17" x14ac:dyDescent="0.25">
      <c r="A173" s="53">
        <v>61</v>
      </c>
      <c r="B173" s="27" t="s">
        <v>76</v>
      </c>
      <c r="C173" s="31"/>
      <c r="D173" s="282">
        <v>0</v>
      </c>
      <c r="E173" s="282">
        <v>0</v>
      </c>
      <c r="F173" s="282">
        <v>0</v>
      </c>
      <c r="G173" s="282">
        <v>0</v>
      </c>
      <c r="H173" s="282">
        <v>0</v>
      </c>
      <c r="I173" s="282">
        <v>0</v>
      </c>
      <c r="J173" s="282">
        <v>0</v>
      </c>
      <c r="K173" s="282">
        <v>0</v>
      </c>
      <c r="L173" s="282">
        <v>0</v>
      </c>
      <c r="M173" s="282">
        <v>8139.78</v>
      </c>
      <c r="N173" s="282">
        <v>10241.76</v>
      </c>
      <c r="O173" s="195">
        <v>8333.2000000000007</v>
      </c>
    </row>
    <row r="174" spans="1:17" hidden="1" x14ac:dyDescent="0.25">
      <c r="A174" s="53">
        <v>64</v>
      </c>
      <c r="B174" s="27" t="s">
        <v>77</v>
      </c>
      <c r="C174" s="31"/>
      <c r="D174" s="282">
        <v>0</v>
      </c>
      <c r="E174" s="282">
        <v>0</v>
      </c>
      <c r="F174" s="282">
        <v>0</v>
      </c>
      <c r="G174" s="282">
        <v>0</v>
      </c>
      <c r="H174" s="282">
        <v>0</v>
      </c>
      <c r="I174" s="282">
        <v>0</v>
      </c>
      <c r="J174" s="282">
        <v>0</v>
      </c>
      <c r="K174" s="282">
        <v>0</v>
      </c>
      <c r="L174" s="282">
        <v>0</v>
      </c>
      <c r="M174" s="282">
        <v>0</v>
      </c>
      <c r="N174" s="282">
        <v>0</v>
      </c>
      <c r="O174" s="195">
        <v>0</v>
      </c>
    </row>
    <row r="175" spans="1:17" x14ac:dyDescent="0.25">
      <c r="A175" s="53">
        <v>66</v>
      </c>
      <c r="B175" s="27" t="s">
        <v>599</v>
      </c>
      <c r="C175" s="31"/>
      <c r="D175" s="282">
        <v>0</v>
      </c>
      <c r="E175" s="282">
        <v>0</v>
      </c>
      <c r="F175" s="282">
        <v>0</v>
      </c>
      <c r="G175" s="282">
        <v>0</v>
      </c>
      <c r="H175" s="282">
        <v>0</v>
      </c>
      <c r="I175" s="282">
        <v>0</v>
      </c>
      <c r="J175" s="282">
        <v>0</v>
      </c>
      <c r="K175" s="282">
        <v>0</v>
      </c>
      <c r="L175" s="282">
        <v>0</v>
      </c>
      <c r="M175" s="282">
        <v>378.05</v>
      </c>
      <c r="N175" s="282">
        <v>434.58</v>
      </c>
      <c r="O175" s="195">
        <v>314.05</v>
      </c>
    </row>
    <row r="176" spans="1:17" ht="12" hidden="1" customHeight="1" x14ac:dyDescent="0.25">
      <c r="A176" s="53">
        <v>71</v>
      </c>
      <c r="B176" s="27" t="s">
        <v>75</v>
      </c>
      <c r="C176" s="31"/>
      <c r="D176" s="282">
        <v>0</v>
      </c>
      <c r="E176" s="282">
        <v>0</v>
      </c>
      <c r="F176" s="282">
        <v>0</v>
      </c>
      <c r="G176" s="282">
        <v>0</v>
      </c>
      <c r="H176" s="282">
        <v>0</v>
      </c>
      <c r="I176" s="282">
        <v>0</v>
      </c>
      <c r="J176" s="282">
        <v>0</v>
      </c>
      <c r="K176" s="282">
        <v>0</v>
      </c>
      <c r="L176" s="282">
        <v>0</v>
      </c>
      <c r="M176" s="282">
        <v>0</v>
      </c>
      <c r="N176" s="282">
        <v>0</v>
      </c>
      <c r="O176" s="195">
        <v>0</v>
      </c>
      <c r="P176" s="178"/>
      <c r="Q176" s="12"/>
    </row>
    <row r="177" spans="1:15" x14ac:dyDescent="0.25">
      <c r="A177" s="53">
        <v>92</v>
      </c>
      <c r="B177" s="27" t="s">
        <v>462</v>
      </c>
      <c r="C177" s="31"/>
      <c r="D177" s="282">
        <v>0</v>
      </c>
      <c r="E177" s="282">
        <v>0</v>
      </c>
      <c r="F177" s="282">
        <v>0</v>
      </c>
      <c r="G177" s="282">
        <v>0</v>
      </c>
      <c r="H177" s="282">
        <v>0</v>
      </c>
      <c r="I177" s="282">
        <v>0</v>
      </c>
      <c r="J177" s="282">
        <v>0</v>
      </c>
      <c r="K177" s="282">
        <v>0</v>
      </c>
      <c r="L177" s="282">
        <v>0</v>
      </c>
      <c r="M177" s="282">
        <v>0</v>
      </c>
      <c r="N177" s="282">
        <v>0</v>
      </c>
      <c r="O177" s="195">
        <v>0</v>
      </c>
    </row>
    <row r="178" spans="1:15" x14ac:dyDescent="0.25">
      <c r="A178" s="53">
        <v>93</v>
      </c>
      <c r="B178" s="27" t="s">
        <v>78</v>
      </c>
      <c r="C178" s="31"/>
      <c r="D178" s="282">
        <v>0</v>
      </c>
      <c r="E178" s="282">
        <v>0</v>
      </c>
      <c r="F178" s="282">
        <v>0</v>
      </c>
      <c r="G178" s="282">
        <v>0</v>
      </c>
      <c r="H178" s="282">
        <v>0</v>
      </c>
      <c r="I178" s="282">
        <v>0</v>
      </c>
      <c r="J178" s="282">
        <v>0</v>
      </c>
      <c r="K178" s="282">
        <v>0</v>
      </c>
      <c r="L178" s="282">
        <v>0</v>
      </c>
      <c r="M178" s="282">
        <v>89010.45</v>
      </c>
      <c r="N178" s="282">
        <v>107404.58</v>
      </c>
      <c r="O178" s="195">
        <v>103113.06</v>
      </c>
    </row>
    <row r="179" spans="1:15" x14ac:dyDescent="0.25">
      <c r="A179" s="53">
        <v>703</v>
      </c>
      <c r="B179" s="27" t="s">
        <v>478</v>
      </c>
      <c r="C179" s="31"/>
      <c r="D179" s="282">
        <v>0</v>
      </c>
      <c r="E179" s="282">
        <v>0</v>
      </c>
      <c r="F179" s="282">
        <v>0</v>
      </c>
      <c r="G179" s="282">
        <v>0</v>
      </c>
      <c r="H179" s="282">
        <v>0</v>
      </c>
      <c r="I179" s="282">
        <v>0</v>
      </c>
      <c r="J179" s="282">
        <v>0</v>
      </c>
      <c r="K179" s="282">
        <v>0</v>
      </c>
      <c r="L179" s="282">
        <v>0</v>
      </c>
      <c r="M179" s="282">
        <v>0</v>
      </c>
      <c r="N179" s="282">
        <v>0</v>
      </c>
      <c r="O179" s="195">
        <v>0</v>
      </c>
    </row>
    <row r="180" spans="1:15" x14ac:dyDescent="0.25">
      <c r="A180" s="53">
        <v>275</v>
      </c>
      <c r="B180" s="27" t="s">
        <v>79</v>
      </c>
      <c r="C180" s="31"/>
      <c r="D180" s="282">
        <v>0</v>
      </c>
      <c r="E180" s="282">
        <v>0</v>
      </c>
      <c r="F180" s="282">
        <v>0</v>
      </c>
      <c r="G180" s="282">
        <v>0</v>
      </c>
      <c r="H180" s="282">
        <v>0</v>
      </c>
      <c r="I180" s="282">
        <v>0</v>
      </c>
      <c r="J180" s="282">
        <v>0</v>
      </c>
      <c r="K180" s="282">
        <v>0</v>
      </c>
      <c r="L180" s="282">
        <v>0</v>
      </c>
      <c r="M180" s="282">
        <v>17421.11</v>
      </c>
      <c r="N180" s="282">
        <v>10908.53</v>
      </c>
      <c r="O180" s="195">
        <v>6614.54</v>
      </c>
    </row>
    <row r="181" spans="1:15" x14ac:dyDescent="0.25">
      <c r="A181" s="53">
        <v>279</v>
      </c>
      <c r="B181" s="27" t="s">
        <v>80</v>
      </c>
      <c r="C181" s="235"/>
      <c r="D181" s="282">
        <v>0</v>
      </c>
      <c r="E181" s="282">
        <v>0</v>
      </c>
      <c r="F181" s="282">
        <v>0</v>
      </c>
      <c r="G181" s="282">
        <v>0</v>
      </c>
      <c r="H181" s="282">
        <v>0</v>
      </c>
      <c r="I181" s="282">
        <v>0</v>
      </c>
      <c r="J181" s="282">
        <v>0</v>
      </c>
      <c r="K181" s="282">
        <v>0</v>
      </c>
      <c r="L181" s="282">
        <v>0</v>
      </c>
      <c r="M181" s="282">
        <v>90771.13</v>
      </c>
      <c r="N181" s="282">
        <v>82298.720000000001</v>
      </c>
      <c r="O181" s="195">
        <v>92383.17</v>
      </c>
    </row>
    <row r="182" spans="1:15" x14ac:dyDescent="0.25">
      <c r="A182" s="53">
        <v>287</v>
      </c>
      <c r="B182" s="27" t="s">
        <v>81</v>
      </c>
      <c r="C182" s="31"/>
      <c r="D182" s="282">
        <v>0</v>
      </c>
      <c r="E182" s="282">
        <v>0</v>
      </c>
      <c r="F182" s="282">
        <v>0</v>
      </c>
      <c r="G182" s="282">
        <v>0</v>
      </c>
      <c r="H182" s="282">
        <v>0</v>
      </c>
      <c r="I182" s="282">
        <v>0</v>
      </c>
      <c r="J182" s="282">
        <v>0</v>
      </c>
      <c r="K182" s="282">
        <v>0</v>
      </c>
      <c r="L182" s="282">
        <v>0</v>
      </c>
      <c r="M182" s="282">
        <v>48533.67</v>
      </c>
      <c r="N182" s="282">
        <v>42050.17</v>
      </c>
      <c r="O182" s="195">
        <v>44144.62</v>
      </c>
    </row>
    <row r="183" spans="1:15" x14ac:dyDescent="0.25">
      <c r="A183" s="53">
        <v>288</v>
      </c>
      <c r="B183" s="27" t="s">
        <v>82</v>
      </c>
      <c r="C183" s="31"/>
      <c r="D183" s="282">
        <v>0</v>
      </c>
      <c r="E183" s="282">
        <v>0</v>
      </c>
      <c r="F183" s="282">
        <v>0</v>
      </c>
      <c r="G183" s="282">
        <v>0</v>
      </c>
      <c r="H183" s="282">
        <v>0</v>
      </c>
      <c r="I183" s="282">
        <v>0</v>
      </c>
      <c r="J183" s="282">
        <v>0</v>
      </c>
      <c r="K183" s="282">
        <v>0</v>
      </c>
      <c r="L183" s="282">
        <v>0</v>
      </c>
      <c r="M183" s="282">
        <v>11535.32</v>
      </c>
      <c r="N183" s="282">
        <v>10017.290000000001</v>
      </c>
      <c r="O183" s="195">
        <v>10613.29</v>
      </c>
    </row>
    <row r="184" spans="1:15" x14ac:dyDescent="0.25">
      <c r="A184" s="53">
        <v>415</v>
      </c>
      <c r="B184" s="27" t="s">
        <v>83</v>
      </c>
      <c r="C184" s="31"/>
      <c r="D184" s="282">
        <v>0</v>
      </c>
      <c r="E184" s="282">
        <v>0</v>
      </c>
      <c r="F184" s="282">
        <v>0</v>
      </c>
      <c r="G184" s="282">
        <v>0</v>
      </c>
      <c r="H184" s="282">
        <v>0</v>
      </c>
      <c r="I184" s="282">
        <v>0</v>
      </c>
      <c r="J184" s="282">
        <v>0</v>
      </c>
      <c r="K184" s="282">
        <v>0</v>
      </c>
      <c r="L184" s="282">
        <v>0</v>
      </c>
      <c r="M184" s="282">
        <v>26103.64</v>
      </c>
      <c r="N184" s="282">
        <v>22725.82</v>
      </c>
      <c r="O184" s="195">
        <v>25073.78</v>
      </c>
    </row>
    <row r="185" spans="1:15" ht="12.75" customHeight="1" x14ac:dyDescent="0.25">
      <c r="A185" s="6">
        <v>416</v>
      </c>
      <c r="B185" s="27" t="s">
        <v>84</v>
      </c>
      <c r="C185" s="31"/>
      <c r="D185" s="282">
        <v>0</v>
      </c>
      <c r="E185" s="282">
        <v>0</v>
      </c>
      <c r="F185" s="282">
        <v>0</v>
      </c>
      <c r="G185" s="282">
        <v>0</v>
      </c>
      <c r="H185" s="282">
        <v>0</v>
      </c>
      <c r="I185" s="282">
        <v>0</v>
      </c>
      <c r="J185" s="282">
        <v>0</v>
      </c>
      <c r="K185" s="282">
        <v>0</v>
      </c>
      <c r="L185" s="282">
        <v>0</v>
      </c>
      <c r="M185" s="282">
        <v>1441.65</v>
      </c>
      <c r="N185" s="282">
        <v>1251.9100000000001</v>
      </c>
      <c r="O185" s="195">
        <v>1326.43</v>
      </c>
    </row>
    <row r="186" spans="1:15" x14ac:dyDescent="0.25">
      <c r="A186" s="53">
        <v>359</v>
      </c>
      <c r="B186" s="27" t="s">
        <v>490</v>
      </c>
      <c r="C186" s="31"/>
      <c r="D186" s="282">
        <v>0</v>
      </c>
      <c r="E186" s="282">
        <v>0</v>
      </c>
      <c r="F186" s="282">
        <v>0</v>
      </c>
      <c r="G186" s="282">
        <v>0</v>
      </c>
      <c r="H186" s="282">
        <v>0</v>
      </c>
      <c r="I186" s="282">
        <v>0</v>
      </c>
      <c r="J186" s="282">
        <v>0</v>
      </c>
      <c r="K186" s="282">
        <v>0</v>
      </c>
      <c r="L186" s="282">
        <v>0</v>
      </c>
      <c r="M186" s="349">
        <v>182144.23</v>
      </c>
      <c r="N186" s="195">
        <v>378946.33000000031</v>
      </c>
      <c r="O186" s="195">
        <v>420726.9700000002</v>
      </c>
    </row>
    <row r="187" spans="1:15" x14ac:dyDescent="0.25">
      <c r="A187" s="53">
        <v>522</v>
      </c>
      <c r="B187" s="27" t="s">
        <v>491</v>
      </c>
      <c r="C187" s="31"/>
      <c r="D187" s="282">
        <v>0</v>
      </c>
      <c r="E187" s="282">
        <v>0</v>
      </c>
      <c r="F187" s="282">
        <v>0</v>
      </c>
      <c r="G187" s="282">
        <v>0</v>
      </c>
      <c r="H187" s="282">
        <v>0</v>
      </c>
      <c r="I187" s="282">
        <v>0</v>
      </c>
      <c r="J187" s="282">
        <v>0</v>
      </c>
      <c r="K187" s="282">
        <v>0</v>
      </c>
      <c r="L187" s="282">
        <v>0</v>
      </c>
      <c r="M187" s="349">
        <v>151252.21</v>
      </c>
      <c r="N187" s="195">
        <v>219272.79000000004</v>
      </c>
      <c r="O187" s="195">
        <v>291507.67000000004</v>
      </c>
    </row>
    <row r="188" spans="1:15" x14ac:dyDescent="0.25">
      <c r="A188" s="53">
        <v>644</v>
      </c>
      <c r="B188" s="27" t="s">
        <v>492</v>
      </c>
      <c r="C188" s="31"/>
      <c r="D188" s="195">
        <v>0</v>
      </c>
      <c r="E188" s="195">
        <v>0</v>
      </c>
      <c r="F188" s="195">
        <v>0</v>
      </c>
      <c r="G188" s="195">
        <v>0</v>
      </c>
      <c r="H188" s="195">
        <v>0</v>
      </c>
      <c r="I188" s="195">
        <v>0</v>
      </c>
      <c r="J188" s="195">
        <v>0</v>
      </c>
      <c r="K188" s="195">
        <v>0</v>
      </c>
      <c r="L188" s="195">
        <v>0</v>
      </c>
      <c r="M188" s="195">
        <v>0</v>
      </c>
      <c r="N188" s="195">
        <v>0</v>
      </c>
      <c r="O188" s="195">
        <v>0</v>
      </c>
    </row>
    <row r="189" spans="1:15" x14ac:dyDescent="0.25">
      <c r="A189" s="53">
        <v>641</v>
      </c>
      <c r="B189" s="27" t="s">
        <v>493</v>
      </c>
      <c r="C189" s="31"/>
      <c r="D189" s="195">
        <v>0</v>
      </c>
      <c r="E189" s="195">
        <v>0</v>
      </c>
      <c r="F189" s="195">
        <v>0</v>
      </c>
      <c r="G189" s="195">
        <v>0</v>
      </c>
      <c r="H189" s="195">
        <v>0</v>
      </c>
      <c r="I189" s="195">
        <v>0</v>
      </c>
      <c r="J189" s="195">
        <v>0</v>
      </c>
      <c r="K189" s="195">
        <v>0</v>
      </c>
      <c r="L189" s="195">
        <v>0</v>
      </c>
      <c r="M189" s="195">
        <v>0</v>
      </c>
      <c r="N189" s="195">
        <v>0</v>
      </c>
      <c r="O189" s="195">
        <v>0</v>
      </c>
    </row>
    <row r="190" spans="1:15" hidden="1" x14ac:dyDescent="0.25">
      <c r="A190" s="53">
        <v>642</v>
      </c>
      <c r="B190" s="27" t="s">
        <v>494</v>
      </c>
      <c r="C190" s="31"/>
      <c r="D190" s="195">
        <v>0</v>
      </c>
      <c r="E190" s="195">
        <v>0</v>
      </c>
      <c r="F190" s="195">
        <v>0</v>
      </c>
      <c r="G190" s="195">
        <v>0</v>
      </c>
      <c r="H190" s="195">
        <v>0</v>
      </c>
      <c r="I190" s="195">
        <v>0</v>
      </c>
      <c r="J190" s="195">
        <v>0</v>
      </c>
      <c r="K190" s="195">
        <v>0</v>
      </c>
      <c r="L190" s="195">
        <v>0</v>
      </c>
      <c r="M190" s="195">
        <v>0</v>
      </c>
      <c r="N190" s="195">
        <v>0</v>
      </c>
      <c r="O190" s="195">
        <v>0</v>
      </c>
    </row>
    <row r="191" spans="1:15" hidden="1" x14ac:dyDescent="0.25">
      <c r="A191" s="53">
        <v>643</v>
      </c>
      <c r="B191" s="27" t="s">
        <v>495</v>
      </c>
      <c r="C191" s="31"/>
      <c r="D191" s="195">
        <v>0</v>
      </c>
      <c r="E191" s="195">
        <v>0</v>
      </c>
      <c r="F191" s="195">
        <v>0</v>
      </c>
      <c r="G191" s="195">
        <v>0</v>
      </c>
      <c r="H191" s="195">
        <v>0</v>
      </c>
      <c r="I191" s="195">
        <v>0</v>
      </c>
      <c r="J191" s="195">
        <v>0</v>
      </c>
      <c r="K191" s="195">
        <v>0</v>
      </c>
      <c r="L191" s="195">
        <v>0</v>
      </c>
      <c r="M191" s="195">
        <v>0</v>
      </c>
      <c r="N191" s="195">
        <v>0</v>
      </c>
      <c r="O191" s="195">
        <v>0</v>
      </c>
    </row>
    <row r="192" spans="1:15" ht="13.8" thickBot="1" x14ac:dyDescent="0.3">
      <c r="A192" s="215">
        <v>661</v>
      </c>
      <c r="B192" s="216" t="s">
        <v>496</v>
      </c>
      <c r="C192" s="19"/>
      <c r="D192" s="196">
        <v>0</v>
      </c>
      <c r="E192" s="196">
        <v>0</v>
      </c>
      <c r="F192" s="196">
        <v>0</v>
      </c>
      <c r="G192" s="196">
        <v>0</v>
      </c>
      <c r="H192" s="196">
        <v>0</v>
      </c>
      <c r="I192" s="196">
        <v>0</v>
      </c>
      <c r="J192" s="196">
        <v>0</v>
      </c>
      <c r="K192" s="196">
        <v>0</v>
      </c>
      <c r="L192" s="196">
        <v>0</v>
      </c>
      <c r="M192" s="196">
        <v>5882.4</v>
      </c>
      <c r="N192" s="196">
        <v>5882.4</v>
      </c>
      <c r="O192" s="196">
        <v>5882.4</v>
      </c>
    </row>
    <row r="193" spans="1:17" ht="13.8" hidden="1" thickBot="1" x14ac:dyDescent="0.3">
      <c r="A193" s="53">
        <v>405</v>
      </c>
      <c r="B193" s="74" t="s">
        <v>497</v>
      </c>
      <c r="C193" s="31"/>
      <c r="D193" s="196">
        <v>0</v>
      </c>
      <c r="E193" s="196">
        <v>0</v>
      </c>
      <c r="F193" s="196">
        <v>0</v>
      </c>
      <c r="G193" s="196">
        <v>0</v>
      </c>
      <c r="H193" s="196">
        <v>0</v>
      </c>
      <c r="I193" s="196">
        <v>0</v>
      </c>
      <c r="J193" s="196">
        <v>0</v>
      </c>
      <c r="K193" s="196">
        <v>0</v>
      </c>
      <c r="L193" s="196">
        <v>0</v>
      </c>
      <c r="M193" s="196">
        <v>0</v>
      </c>
      <c r="N193" s="196">
        <v>0</v>
      </c>
      <c r="O193" s="196">
        <v>0</v>
      </c>
    </row>
    <row r="194" spans="1:17" ht="13.8" thickBot="1" x14ac:dyDescent="0.3">
      <c r="A194" s="1"/>
      <c r="B194" s="231" t="s">
        <v>55</v>
      </c>
      <c r="C194" s="232"/>
      <c r="D194" s="233">
        <f>SUM(D168:D193)</f>
        <v>0</v>
      </c>
      <c r="E194" s="233">
        <f>SUM(E168:E193)</f>
        <v>0</v>
      </c>
      <c r="F194" s="233">
        <f t="shared" ref="F194:K194" si="11">SUM(F168:F193)</f>
        <v>0</v>
      </c>
      <c r="G194" s="233">
        <f t="shared" si="11"/>
        <v>0</v>
      </c>
      <c r="H194" s="39">
        <f t="shared" si="11"/>
        <v>0</v>
      </c>
      <c r="I194" s="233">
        <f t="shared" si="11"/>
        <v>0</v>
      </c>
      <c r="J194" s="39">
        <f t="shared" si="11"/>
        <v>0</v>
      </c>
      <c r="K194" s="233">
        <f t="shared" si="11"/>
        <v>0</v>
      </c>
      <c r="L194" s="233">
        <f>SUM(L169:L193)</f>
        <v>0</v>
      </c>
      <c r="M194" s="233">
        <f>SUM(M168:M193)</f>
        <v>692291.97</v>
      </c>
      <c r="N194" s="233">
        <f>SUM(N168:N193)</f>
        <v>956618.29000000039</v>
      </c>
      <c r="O194" s="233">
        <f t="shared" ref="O194" si="12">SUM(O169:O193)</f>
        <v>1063795.2000000002</v>
      </c>
      <c r="P194" s="144"/>
    </row>
    <row r="195" spans="1:17" ht="13.8" thickBot="1" x14ac:dyDescent="0.3">
      <c r="A195" s="65"/>
      <c r="B195" s="1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69"/>
    </row>
    <row r="196" spans="1:17" ht="13.8" thickBot="1" x14ac:dyDescent="0.3">
      <c r="A196" s="8"/>
      <c r="B196" s="42" t="s">
        <v>85</v>
      </c>
      <c r="C196" s="41" t="s">
        <v>1</v>
      </c>
      <c r="D196" s="49">
        <f>D2</f>
        <v>46022</v>
      </c>
      <c r="E196" s="49">
        <f t="shared" ref="E196:O196" si="13">E2</f>
        <v>45991</v>
      </c>
      <c r="F196" s="49">
        <f t="shared" si="13"/>
        <v>45961</v>
      </c>
      <c r="G196" s="49">
        <f t="shared" si="13"/>
        <v>45930</v>
      </c>
      <c r="H196" s="49">
        <f t="shared" si="13"/>
        <v>45900</v>
      </c>
      <c r="I196" s="49">
        <f t="shared" si="13"/>
        <v>45869</v>
      </c>
      <c r="J196" s="49">
        <f t="shared" si="13"/>
        <v>45838</v>
      </c>
      <c r="K196" s="49">
        <f t="shared" si="13"/>
        <v>45808</v>
      </c>
      <c r="L196" s="49">
        <f t="shared" si="13"/>
        <v>45777</v>
      </c>
      <c r="M196" s="49">
        <f t="shared" si="13"/>
        <v>45747</v>
      </c>
      <c r="N196" s="49">
        <f t="shared" si="13"/>
        <v>45716</v>
      </c>
      <c r="O196" s="49">
        <f t="shared" si="13"/>
        <v>45688</v>
      </c>
    </row>
    <row r="197" spans="1:17" ht="12" customHeight="1" x14ac:dyDescent="0.25">
      <c r="A197" s="14">
        <v>189</v>
      </c>
      <c r="B197" s="108" t="s">
        <v>414</v>
      </c>
      <c r="C197" s="234"/>
      <c r="D197" s="194">
        <v>0</v>
      </c>
      <c r="E197" s="194">
        <v>0</v>
      </c>
      <c r="F197" s="194">
        <v>0</v>
      </c>
      <c r="G197" s="194">
        <v>0</v>
      </c>
      <c r="H197" s="194">
        <v>0</v>
      </c>
      <c r="I197" s="194">
        <v>0</v>
      </c>
      <c r="J197" s="194">
        <v>0</v>
      </c>
      <c r="K197" s="194">
        <v>0</v>
      </c>
      <c r="L197" s="194">
        <v>0</v>
      </c>
      <c r="M197" s="194">
        <v>2937858.49</v>
      </c>
      <c r="N197" s="194">
        <v>2937858.49</v>
      </c>
      <c r="O197" s="194">
        <v>2937858.49</v>
      </c>
    </row>
    <row r="198" spans="1:17" x14ac:dyDescent="0.25">
      <c r="A198" s="6">
        <v>230</v>
      </c>
      <c r="B198" s="74" t="s">
        <v>416</v>
      </c>
      <c r="C198" s="31"/>
      <c r="D198" s="195">
        <v>0</v>
      </c>
      <c r="E198" s="195">
        <v>0</v>
      </c>
      <c r="F198" s="195">
        <v>0</v>
      </c>
      <c r="G198" s="195">
        <v>0</v>
      </c>
      <c r="H198" s="195">
        <v>0</v>
      </c>
      <c r="I198" s="195">
        <v>0</v>
      </c>
      <c r="J198" s="195">
        <v>0</v>
      </c>
      <c r="K198" s="195">
        <v>0</v>
      </c>
      <c r="L198" s="195">
        <v>0</v>
      </c>
      <c r="M198" s="195">
        <v>5961423.3099999996</v>
      </c>
      <c r="N198" s="195">
        <v>5961423.3099999996</v>
      </c>
      <c r="O198" s="195">
        <v>5961423.3099999996</v>
      </c>
    </row>
    <row r="199" spans="1:17" ht="13.8" thickBot="1" x14ac:dyDescent="0.3">
      <c r="A199" s="19"/>
      <c r="B199" s="109" t="s">
        <v>86</v>
      </c>
      <c r="C199" s="19"/>
      <c r="D199" s="34">
        <v>0</v>
      </c>
      <c r="E199" s="34">
        <v>0</v>
      </c>
      <c r="F199" s="34">
        <v>0</v>
      </c>
      <c r="G199" s="34">
        <v>0</v>
      </c>
      <c r="H199" s="34">
        <v>0</v>
      </c>
      <c r="I199" s="34">
        <v>0</v>
      </c>
      <c r="J199" s="34">
        <v>0</v>
      </c>
      <c r="K199" s="34">
        <v>0</v>
      </c>
      <c r="L199" s="34">
        <v>0</v>
      </c>
      <c r="M199" s="34">
        <v>-699488.15</v>
      </c>
      <c r="N199" s="34">
        <v>-483055.86</v>
      </c>
      <c r="O199" s="34">
        <v>-308203.58</v>
      </c>
      <c r="P199" s="181"/>
    </row>
    <row r="200" spans="1:17" ht="13.8" thickBot="1" x14ac:dyDescent="0.3">
      <c r="A200" s="1"/>
      <c r="B200" s="42" t="s">
        <v>87</v>
      </c>
      <c r="C200" s="42"/>
      <c r="D200" s="39">
        <f t="shared" ref="D200:I200" si="14">SUM(D197:D199)</f>
        <v>0</v>
      </c>
      <c r="E200" s="39">
        <f t="shared" si="14"/>
        <v>0</v>
      </c>
      <c r="F200" s="39">
        <f t="shared" si="14"/>
        <v>0</v>
      </c>
      <c r="G200" s="39">
        <f t="shared" si="14"/>
        <v>0</v>
      </c>
      <c r="H200" s="39">
        <f t="shared" si="14"/>
        <v>0</v>
      </c>
      <c r="I200" s="39">
        <f t="shared" si="14"/>
        <v>0</v>
      </c>
      <c r="J200" s="39">
        <f t="shared" ref="J200:O200" si="15">SUM(J197:J199)</f>
        <v>0</v>
      </c>
      <c r="K200" s="39">
        <f t="shared" si="15"/>
        <v>0</v>
      </c>
      <c r="L200" s="39">
        <f t="shared" si="15"/>
        <v>0</v>
      </c>
      <c r="M200" s="39">
        <f>SUM(M197:M199)</f>
        <v>8199793.6500000004</v>
      </c>
      <c r="N200" s="39">
        <f>SUM(N197:N199)</f>
        <v>8416225.9400000013</v>
      </c>
      <c r="O200" s="39">
        <f t="shared" si="15"/>
        <v>8591078.2200000007</v>
      </c>
      <c r="P200" s="181"/>
    </row>
    <row r="201" spans="1:17" ht="13.8" thickBot="1" x14ac:dyDescent="0.3">
      <c r="A201" s="65"/>
      <c r="O201" s="66"/>
    </row>
    <row r="202" spans="1:17" ht="13.8" thickBot="1" x14ac:dyDescent="0.3">
      <c r="A202" s="7"/>
      <c r="B202" s="90" t="s">
        <v>88</v>
      </c>
      <c r="C202" s="17"/>
      <c r="D202" s="20">
        <f>D200+D194</f>
        <v>0</v>
      </c>
      <c r="E202" s="20">
        <f>E200+E194</f>
        <v>0</v>
      </c>
      <c r="F202" s="20">
        <f t="shared" ref="F202:N202" si="16">F200+F194</f>
        <v>0</v>
      </c>
      <c r="G202" s="20">
        <f>G200+G194</f>
        <v>0</v>
      </c>
      <c r="H202" s="20">
        <f>H200+H194</f>
        <v>0</v>
      </c>
      <c r="I202" s="20">
        <f>I200+I194</f>
        <v>0</v>
      </c>
      <c r="J202" s="20">
        <f t="shared" si="16"/>
        <v>0</v>
      </c>
      <c r="K202" s="20">
        <f t="shared" si="16"/>
        <v>0</v>
      </c>
      <c r="L202" s="20">
        <f>L200+L194</f>
        <v>0</v>
      </c>
      <c r="M202" s="20">
        <f t="shared" si="16"/>
        <v>8892085.620000001</v>
      </c>
      <c r="N202" s="20">
        <f t="shared" si="16"/>
        <v>9372844.2300000023</v>
      </c>
      <c r="O202" s="20">
        <f>O200+O194</f>
        <v>9654873.4200000018</v>
      </c>
      <c r="Q202" s="12"/>
    </row>
    <row r="203" spans="1:17" x14ac:dyDescent="0.25">
      <c r="A203" s="65"/>
      <c r="C203" s="13"/>
      <c r="D203" s="10">
        <f>D202-D162</f>
        <v>0</v>
      </c>
      <c r="E203" s="10">
        <f t="shared" ref="E203:N203" si="17">E202-E162</f>
        <v>0</v>
      </c>
      <c r="F203" s="10">
        <f t="shared" si="17"/>
        <v>0</v>
      </c>
      <c r="G203" s="10">
        <f t="shared" si="17"/>
        <v>0</v>
      </c>
      <c r="H203" s="10">
        <f t="shared" si="17"/>
        <v>0</v>
      </c>
      <c r="I203" s="10">
        <f>I202-I162</f>
        <v>0</v>
      </c>
      <c r="J203" s="10">
        <f t="shared" si="17"/>
        <v>0</v>
      </c>
      <c r="K203" s="10">
        <f t="shared" si="17"/>
        <v>0</v>
      </c>
      <c r="L203" s="10">
        <f t="shared" si="17"/>
        <v>0</v>
      </c>
      <c r="M203" s="10">
        <f t="shared" si="17"/>
        <v>0</v>
      </c>
      <c r="N203" s="10">
        <f t="shared" si="17"/>
        <v>0</v>
      </c>
      <c r="O203" s="283">
        <f>O202-O162</f>
        <v>0</v>
      </c>
    </row>
    <row r="204" spans="1:17" ht="13.8" thickBot="1" x14ac:dyDescent="0.3">
      <c r="A204" s="65"/>
      <c r="B204" s="13"/>
      <c r="D204" s="12"/>
      <c r="F204" s="12"/>
      <c r="G204" s="12"/>
      <c r="K204" s="12"/>
      <c r="L204" s="12"/>
      <c r="M204" s="12"/>
      <c r="N204" s="12"/>
      <c r="O204" s="129"/>
    </row>
    <row r="205" spans="1:17" ht="13.8" thickBot="1" x14ac:dyDescent="0.3">
      <c r="A205" s="378" t="s">
        <v>89</v>
      </c>
      <c r="B205" s="379"/>
      <c r="C205" s="379"/>
      <c r="D205" s="379"/>
      <c r="E205" s="379"/>
      <c r="F205" s="379"/>
      <c r="G205" s="379"/>
      <c r="H205" s="379"/>
      <c r="I205" s="379"/>
      <c r="J205" s="379"/>
      <c r="K205" s="379"/>
      <c r="L205" s="379"/>
      <c r="M205" s="379"/>
      <c r="N205" s="379"/>
      <c r="O205" s="380"/>
      <c r="P205" s="144"/>
    </row>
    <row r="206" spans="1:17" ht="13.8" thickBot="1" x14ac:dyDescent="0.3">
      <c r="A206" s="373" t="s">
        <v>90</v>
      </c>
      <c r="B206" s="374"/>
      <c r="C206" s="22" t="s">
        <v>1</v>
      </c>
      <c r="D206" s="32">
        <f>D2</f>
        <v>46022</v>
      </c>
      <c r="E206" s="32">
        <f t="shared" ref="E206:O206" si="18">E2</f>
        <v>45991</v>
      </c>
      <c r="F206" s="32">
        <f t="shared" si="18"/>
        <v>45961</v>
      </c>
      <c r="G206" s="32">
        <f t="shared" si="18"/>
        <v>45930</v>
      </c>
      <c r="H206" s="32">
        <f t="shared" si="18"/>
        <v>45900</v>
      </c>
      <c r="I206" s="32">
        <f t="shared" si="18"/>
        <v>45869</v>
      </c>
      <c r="J206" s="32">
        <f t="shared" si="18"/>
        <v>45838</v>
      </c>
      <c r="K206" s="32">
        <f t="shared" si="18"/>
        <v>45808</v>
      </c>
      <c r="L206" s="32">
        <f t="shared" si="18"/>
        <v>45777</v>
      </c>
      <c r="M206" s="32">
        <f t="shared" si="18"/>
        <v>45747</v>
      </c>
      <c r="N206" s="32">
        <f t="shared" si="18"/>
        <v>45716</v>
      </c>
      <c r="O206" s="32">
        <f t="shared" si="18"/>
        <v>45688</v>
      </c>
    </row>
    <row r="207" spans="1:17" x14ac:dyDescent="0.25">
      <c r="A207" s="6">
        <v>175</v>
      </c>
      <c r="B207" s="74" t="s">
        <v>92</v>
      </c>
      <c r="C207" s="143">
        <f t="shared" ref="C207:C214" si="19">SUM(D207:O207)</f>
        <v>0</v>
      </c>
      <c r="D207" s="194">
        <v>0</v>
      </c>
      <c r="E207" s="194">
        <v>0</v>
      </c>
      <c r="F207" s="194">
        <v>0</v>
      </c>
      <c r="G207" s="194">
        <v>0</v>
      </c>
      <c r="H207" s="194">
        <v>0</v>
      </c>
      <c r="I207" s="194">
        <v>0</v>
      </c>
      <c r="J207" s="194">
        <v>0</v>
      </c>
      <c r="K207" s="194">
        <v>0</v>
      </c>
      <c r="L207" s="194">
        <v>0</v>
      </c>
      <c r="M207" s="194">
        <v>0</v>
      </c>
      <c r="N207" s="194">
        <v>0</v>
      </c>
      <c r="O207" s="194">
        <v>0</v>
      </c>
    </row>
    <row r="208" spans="1:17" x14ac:dyDescent="0.25">
      <c r="A208" s="6">
        <v>176</v>
      </c>
      <c r="B208" s="74" t="s">
        <v>91</v>
      </c>
      <c r="C208" s="143">
        <f t="shared" si="19"/>
        <v>2329578.3200000003</v>
      </c>
      <c r="D208" s="195">
        <v>0</v>
      </c>
      <c r="E208" s="195">
        <v>0</v>
      </c>
      <c r="F208" s="195">
        <v>0</v>
      </c>
      <c r="G208" s="195">
        <v>0</v>
      </c>
      <c r="H208" s="195">
        <v>0</v>
      </c>
      <c r="I208" s="195">
        <v>0</v>
      </c>
      <c r="J208" s="195">
        <v>0</v>
      </c>
      <c r="K208" s="195">
        <v>0</v>
      </c>
      <c r="L208" s="195">
        <v>0</v>
      </c>
      <c r="M208" s="195">
        <f>265944.93+378946.33-182144.23</f>
        <v>462747.03</v>
      </c>
      <c r="N208" s="195">
        <f>604150.33+420726.97-378946.33</f>
        <v>645930.97</v>
      </c>
      <c r="O208" s="195">
        <f>364128.22+1277499.07-420726.97</f>
        <v>1220900.32</v>
      </c>
    </row>
    <row r="209" spans="1:15" x14ac:dyDescent="0.25">
      <c r="A209" s="6">
        <v>490</v>
      </c>
      <c r="B209" s="74" t="s">
        <v>100</v>
      </c>
      <c r="C209" s="143">
        <f t="shared" si="19"/>
        <v>1425595.3599999999</v>
      </c>
      <c r="D209" s="195">
        <v>0</v>
      </c>
      <c r="E209" s="195">
        <v>0</v>
      </c>
      <c r="F209" s="195">
        <v>0</v>
      </c>
      <c r="G209" s="195">
        <v>0</v>
      </c>
      <c r="H209" s="195">
        <v>0</v>
      </c>
      <c r="I209" s="195">
        <v>0</v>
      </c>
      <c r="J209" s="195">
        <v>0</v>
      </c>
      <c r="K209" s="195">
        <v>0</v>
      </c>
      <c r="L209" s="195">
        <v>0</v>
      </c>
      <c r="M209" s="195">
        <f>98683.77+219272.79-151252.21</f>
        <v>166704.35</v>
      </c>
      <c r="N209" s="195">
        <f>431306.09+291507.67-219272.79</f>
        <v>503540.97</v>
      </c>
      <c r="O209" s="195">
        <f>1021549.31+25308.4-291507.67</f>
        <v>755350.04</v>
      </c>
    </row>
    <row r="210" spans="1:15" x14ac:dyDescent="0.25">
      <c r="A210" s="6">
        <v>699</v>
      </c>
      <c r="B210" s="74" t="s">
        <v>504</v>
      </c>
      <c r="C210" s="143">
        <f t="shared" si="19"/>
        <v>44287.45</v>
      </c>
      <c r="D210" s="195">
        <v>0</v>
      </c>
      <c r="E210" s="195">
        <v>0</v>
      </c>
      <c r="F210" s="195">
        <v>0</v>
      </c>
      <c r="G210" s="195">
        <v>0</v>
      </c>
      <c r="H210" s="195">
        <v>0</v>
      </c>
      <c r="I210" s="195">
        <v>0</v>
      </c>
      <c r="J210" s="195">
        <v>0</v>
      </c>
      <c r="K210" s="195">
        <v>0</v>
      </c>
      <c r="L210" s="195">
        <v>0</v>
      </c>
      <c r="M210" s="195">
        <v>18982.53</v>
      </c>
      <c r="N210" s="195">
        <v>12982.53</v>
      </c>
      <c r="O210" s="195">
        <v>12322.39</v>
      </c>
    </row>
    <row r="211" spans="1:15" x14ac:dyDescent="0.25">
      <c r="A211" s="6">
        <v>220</v>
      </c>
      <c r="B211" s="74" t="s">
        <v>98</v>
      </c>
      <c r="C211" s="143">
        <f t="shared" si="19"/>
        <v>5749.87</v>
      </c>
      <c r="D211" s="195">
        <v>0</v>
      </c>
      <c r="E211" s="195">
        <v>0</v>
      </c>
      <c r="F211" s="195">
        <v>0</v>
      </c>
      <c r="G211" s="195">
        <v>0</v>
      </c>
      <c r="H211" s="195">
        <v>0</v>
      </c>
      <c r="I211" s="195">
        <v>0</v>
      </c>
      <c r="J211" s="195">
        <v>0</v>
      </c>
      <c r="K211" s="195">
        <v>0</v>
      </c>
      <c r="L211" s="195">
        <v>0</v>
      </c>
      <c r="M211" s="195">
        <v>0</v>
      </c>
      <c r="N211" s="195">
        <v>0</v>
      </c>
      <c r="O211" s="195">
        <v>5749.87</v>
      </c>
    </row>
    <row r="212" spans="1:15" x14ac:dyDescent="0.25">
      <c r="A212" s="6">
        <v>180</v>
      </c>
      <c r="B212" s="74" t="s">
        <v>93</v>
      </c>
      <c r="C212" s="143">
        <f t="shared" si="19"/>
        <v>0</v>
      </c>
      <c r="D212" s="195">
        <v>0</v>
      </c>
      <c r="E212" s="195">
        <v>0</v>
      </c>
      <c r="F212" s="195">
        <v>0</v>
      </c>
      <c r="G212" s="195">
        <v>0</v>
      </c>
      <c r="H212" s="195">
        <v>0</v>
      </c>
      <c r="I212" s="195">
        <v>0</v>
      </c>
      <c r="J212" s="195">
        <v>0</v>
      </c>
      <c r="K212" s="195">
        <v>0</v>
      </c>
      <c r="L212" s="195">
        <v>0</v>
      </c>
      <c r="M212" s="195">
        <v>0</v>
      </c>
      <c r="N212" s="195">
        <v>0</v>
      </c>
      <c r="O212" s="195">
        <v>0</v>
      </c>
    </row>
    <row r="213" spans="1:15" x14ac:dyDescent="0.25">
      <c r="A213" s="6">
        <v>182</v>
      </c>
      <c r="B213" s="74" t="s">
        <v>99</v>
      </c>
      <c r="C213" s="143">
        <f t="shared" si="19"/>
        <v>362280.79000000004</v>
      </c>
      <c r="D213" s="195">
        <v>0</v>
      </c>
      <c r="E213" s="195">
        <v>0</v>
      </c>
      <c r="F213" s="195">
        <v>0</v>
      </c>
      <c r="G213" s="195">
        <v>0</v>
      </c>
      <c r="H213" s="195">
        <v>0</v>
      </c>
      <c r="I213" s="195">
        <v>0</v>
      </c>
      <c r="J213" s="195">
        <v>0</v>
      </c>
      <c r="K213" s="195">
        <v>0</v>
      </c>
      <c r="L213" s="195">
        <v>0</v>
      </c>
      <c r="M213" s="195">
        <v>175959.6</v>
      </c>
      <c r="N213" s="195">
        <v>57504.85</v>
      </c>
      <c r="O213" s="195">
        <v>128816.34</v>
      </c>
    </row>
    <row r="214" spans="1:15" x14ac:dyDescent="0.25">
      <c r="A214" s="6">
        <v>411</v>
      </c>
      <c r="B214" s="74" t="s">
        <v>97</v>
      </c>
      <c r="C214" s="143">
        <f t="shared" si="19"/>
        <v>0</v>
      </c>
      <c r="D214" s="195">
        <v>0</v>
      </c>
      <c r="E214" s="195">
        <v>0</v>
      </c>
      <c r="F214" s="195">
        <v>0</v>
      </c>
      <c r="G214" s="195">
        <v>0</v>
      </c>
      <c r="H214" s="195">
        <v>0</v>
      </c>
      <c r="I214" s="195">
        <v>0</v>
      </c>
      <c r="J214" s="195">
        <v>0</v>
      </c>
      <c r="K214" s="195">
        <v>0</v>
      </c>
      <c r="L214" s="195">
        <v>0</v>
      </c>
      <c r="M214" s="195">
        <v>0</v>
      </c>
      <c r="N214" s="195">
        <v>0</v>
      </c>
      <c r="O214" s="195">
        <v>0</v>
      </c>
    </row>
    <row r="215" spans="1:15" x14ac:dyDescent="0.25">
      <c r="A215" s="6">
        <v>630</v>
      </c>
      <c r="B215" s="74" t="s">
        <v>586</v>
      </c>
      <c r="C215" s="143">
        <f t="shared" ref="C215" si="20">SUM(D215:O215)</f>
        <v>0</v>
      </c>
      <c r="D215" s="195">
        <v>0</v>
      </c>
      <c r="E215" s="195">
        <v>0</v>
      </c>
      <c r="F215" s="195">
        <v>0</v>
      </c>
      <c r="G215" s="195">
        <v>0</v>
      </c>
      <c r="H215" s="195">
        <v>0</v>
      </c>
      <c r="I215" s="195">
        <v>0</v>
      </c>
      <c r="J215" s="195">
        <v>0</v>
      </c>
      <c r="K215" s="195">
        <v>0</v>
      </c>
      <c r="L215" s="195">
        <v>0</v>
      </c>
      <c r="M215" s="195">
        <v>0</v>
      </c>
      <c r="N215" s="195">
        <v>0</v>
      </c>
      <c r="O215" s="195">
        <v>0</v>
      </c>
    </row>
    <row r="216" spans="1:15" x14ac:dyDescent="0.25">
      <c r="A216" s="6">
        <v>167</v>
      </c>
      <c r="B216" s="74" t="s">
        <v>101</v>
      </c>
      <c r="C216" s="143">
        <f t="shared" ref="C216:C233" si="21">SUM(D216:O216)</f>
        <v>2160</v>
      </c>
      <c r="D216" s="195">
        <v>0</v>
      </c>
      <c r="E216" s="195">
        <v>0</v>
      </c>
      <c r="F216" s="195">
        <v>0</v>
      </c>
      <c r="G216" s="195">
        <v>0</v>
      </c>
      <c r="H216" s="195">
        <v>0</v>
      </c>
      <c r="I216" s="195">
        <v>0</v>
      </c>
      <c r="J216" s="195">
        <v>0</v>
      </c>
      <c r="K216" s="195">
        <v>0</v>
      </c>
      <c r="L216" s="195">
        <v>0</v>
      </c>
      <c r="M216" s="195">
        <v>0</v>
      </c>
      <c r="N216" s="195">
        <f>1200-250</f>
        <v>950</v>
      </c>
      <c r="O216" s="195">
        <v>1210</v>
      </c>
    </row>
    <row r="217" spans="1:15" x14ac:dyDescent="0.25">
      <c r="A217" s="6">
        <v>168</v>
      </c>
      <c r="B217" s="74" t="s">
        <v>102</v>
      </c>
      <c r="C217" s="143">
        <f t="shared" si="21"/>
        <v>0</v>
      </c>
      <c r="D217" s="195">
        <v>0</v>
      </c>
      <c r="E217" s="195">
        <v>0</v>
      </c>
      <c r="F217" s="195">
        <v>0</v>
      </c>
      <c r="G217" s="195">
        <v>0</v>
      </c>
      <c r="H217" s="195">
        <v>0</v>
      </c>
      <c r="I217" s="195">
        <v>0</v>
      </c>
      <c r="J217" s="195">
        <v>0</v>
      </c>
      <c r="K217" s="195">
        <v>0</v>
      </c>
      <c r="L217" s="195">
        <v>0</v>
      </c>
      <c r="M217" s="195">
        <v>0</v>
      </c>
      <c r="N217" s="195">
        <v>0</v>
      </c>
      <c r="O217" s="195">
        <v>0</v>
      </c>
    </row>
    <row r="218" spans="1:15" hidden="1" x14ac:dyDescent="0.25">
      <c r="A218" s="6">
        <v>169</v>
      </c>
      <c r="B218" s="74" t="s">
        <v>103</v>
      </c>
      <c r="C218" s="143">
        <f t="shared" si="21"/>
        <v>0</v>
      </c>
      <c r="D218" s="195">
        <v>0</v>
      </c>
      <c r="E218" s="195">
        <v>0</v>
      </c>
      <c r="F218" s="195">
        <v>0</v>
      </c>
      <c r="G218" s="195">
        <v>0</v>
      </c>
      <c r="H218" s="195">
        <v>0</v>
      </c>
      <c r="I218" s="195">
        <v>0</v>
      </c>
      <c r="J218" s="195">
        <v>0</v>
      </c>
      <c r="K218" s="195">
        <v>0</v>
      </c>
      <c r="L218" s="195">
        <v>0</v>
      </c>
      <c r="M218" s="195">
        <v>0</v>
      </c>
      <c r="N218" s="195">
        <v>0</v>
      </c>
      <c r="O218" s="195">
        <v>0</v>
      </c>
    </row>
    <row r="219" spans="1:15" hidden="1" x14ac:dyDescent="0.25">
      <c r="A219" s="6">
        <v>174</v>
      </c>
      <c r="B219" s="74" t="s">
        <v>542</v>
      </c>
      <c r="C219" s="143">
        <f t="shared" si="21"/>
        <v>0</v>
      </c>
      <c r="D219" s="195">
        <v>0</v>
      </c>
      <c r="E219" s="195">
        <v>0</v>
      </c>
      <c r="F219" s="195">
        <v>0</v>
      </c>
      <c r="G219" s="195">
        <v>0</v>
      </c>
      <c r="H219" s="195">
        <v>0</v>
      </c>
      <c r="I219" s="195">
        <v>0</v>
      </c>
      <c r="J219" s="195">
        <v>0</v>
      </c>
      <c r="K219" s="195">
        <v>0</v>
      </c>
      <c r="L219" s="195">
        <v>0</v>
      </c>
      <c r="M219" s="195">
        <v>0</v>
      </c>
      <c r="N219" s="195">
        <v>0</v>
      </c>
      <c r="O219" s="195">
        <v>0</v>
      </c>
    </row>
    <row r="220" spans="1:15" hidden="1" x14ac:dyDescent="0.25">
      <c r="A220" s="6">
        <v>572</v>
      </c>
      <c r="B220" s="74" t="s">
        <v>107</v>
      </c>
      <c r="C220" s="143">
        <f t="shared" si="21"/>
        <v>0</v>
      </c>
      <c r="D220" s="195">
        <v>0</v>
      </c>
      <c r="E220" s="195">
        <v>0</v>
      </c>
      <c r="F220" s="195">
        <v>0</v>
      </c>
      <c r="G220" s="195">
        <v>0</v>
      </c>
      <c r="H220" s="195">
        <v>0</v>
      </c>
      <c r="I220" s="195">
        <v>0</v>
      </c>
      <c r="J220" s="195">
        <v>0</v>
      </c>
      <c r="K220" s="195">
        <v>0</v>
      </c>
      <c r="L220" s="195">
        <v>0</v>
      </c>
      <c r="M220" s="195">
        <v>0</v>
      </c>
      <c r="N220" s="195">
        <v>0</v>
      </c>
      <c r="O220" s="195">
        <v>0</v>
      </c>
    </row>
    <row r="221" spans="1:15" hidden="1" x14ac:dyDescent="0.25">
      <c r="A221" s="6">
        <v>620</v>
      </c>
      <c r="B221" s="74" t="s">
        <v>108</v>
      </c>
      <c r="C221" s="143">
        <f t="shared" si="21"/>
        <v>0</v>
      </c>
      <c r="D221" s="195">
        <v>0</v>
      </c>
      <c r="E221" s="195">
        <v>0</v>
      </c>
      <c r="F221" s="195">
        <v>0</v>
      </c>
      <c r="G221" s="195">
        <v>0</v>
      </c>
      <c r="H221" s="195">
        <v>0</v>
      </c>
      <c r="I221" s="195">
        <v>0</v>
      </c>
      <c r="J221" s="195">
        <v>0</v>
      </c>
      <c r="K221" s="195">
        <v>0</v>
      </c>
      <c r="L221" s="195">
        <v>0</v>
      </c>
      <c r="M221" s="195">
        <v>0</v>
      </c>
      <c r="N221" s="195">
        <v>0</v>
      </c>
      <c r="O221" s="195">
        <v>0</v>
      </c>
    </row>
    <row r="222" spans="1:15" x14ac:dyDescent="0.25">
      <c r="A222" s="6">
        <v>660</v>
      </c>
      <c r="B222" s="74" t="s">
        <v>109</v>
      </c>
      <c r="C222" s="143">
        <f t="shared" si="21"/>
        <v>0</v>
      </c>
      <c r="D222" s="195">
        <v>0</v>
      </c>
      <c r="E222" s="195">
        <v>0</v>
      </c>
      <c r="F222" s="195">
        <v>0</v>
      </c>
      <c r="G222" s="195">
        <v>0</v>
      </c>
      <c r="H222" s="195">
        <v>0</v>
      </c>
      <c r="I222" s="195">
        <v>0</v>
      </c>
      <c r="J222" s="195">
        <v>0</v>
      </c>
      <c r="K222" s="195">
        <v>0</v>
      </c>
      <c r="L222" s="195">
        <v>0</v>
      </c>
      <c r="M222" s="195">
        <v>0</v>
      </c>
      <c r="N222" s="195">
        <v>0</v>
      </c>
      <c r="O222" s="195">
        <v>0</v>
      </c>
    </row>
    <row r="223" spans="1:15" x14ac:dyDescent="0.25">
      <c r="A223" s="6">
        <v>177</v>
      </c>
      <c r="B223" s="74" t="s">
        <v>438</v>
      </c>
      <c r="C223" s="143">
        <f t="shared" si="21"/>
        <v>0</v>
      </c>
      <c r="D223" s="195">
        <v>0</v>
      </c>
      <c r="E223" s="195">
        <v>0</v>
      </c>
      <c r="F223" s="195">
        <v>0</v>
      </c>
      <c r="G223" s="195">
        <v>0</v>
      </c>
      <c r="H223" s="195">
        <v>0</v>
      </c>
      <c r="I223" s="195">
        <v>0</v>
      </c>
      <c r="J223" s="195">
        <v>0</v>
      </c>
      <c r="K223" s="195">
        <v>0</v>
      </c>
      <c r="L223" s="195">
        <v>0</v>
      </c>
      <c r="M223" s="195">
        <v>0</v>
      </c>
      <c r="N223" s="195">
        <v>0</v>
      </c>
      <c r="O223" s="195">
        <v>0</v>
      </c>
    </row>
    <row r="224" spans="1:15" x14ac:dyDescent="0.25">
      <c r="A224" s="6">
        <v>254</v>
      </c>
      <c r="B224" s="74" t="s">
        <v>419</v>
      </c>
      <c r="C224" s="143">
        <f t="shared" si="21"/>
        <v>800.02</v>
      </c>
      <c r="D224" s="195">
        <v>0</v>
      </c>
      <c r="E224" s="195">
        <v>0</v>
      </c>
      <c r="F224" s="195">
        <v>0</v>
      </c>
      <c r="G224" s="195">
        <v>0</v>
      </c>
      <c r="H224" s="195">
        <v>0</v>
      </c>
      <c r="I224" s="195">
        <v>0</v>
      </c>
      <c r="J224" s="195">
        <v>0</v>
      </c>
      <c r="K224" s="195">
        <v>0</v>
      </c>
      <c r="L224" s="195">
        <v>0</v>
      </c>
      <c r="M224" s="195">
        <v>522.92999999999995</v>
      </c>
      <c r="N224" s="195">
        <v>0</v>
      </c>
      <c r="O224" s="195">
        <v>277.08999999999997</v>
      </c>
    </row>
    <row r="225" spans="1:20" hidden="1" x14ac:dyDescent="0.25">
      <c r="A225" s="6">
        <v>553</v>
      </c>
      <c r="B225" s="74" t="s">
        <v>104</v>
      </c>
      <c r="C225" s="143">
        <f t="shared" si="21"/>
        <v>0</v>
      </c>
      <c r="D225" s="195">
        <v>0</v>
      </c>
      <c r="E225" s="195">
        <v>0</v>
      </c>
      <c r="F225" s="195">
        <v>0</v>
      </c>
      <c r="G225" s="195">
        <v>0</v>
      </c>
      <c r="H225" s="195">
        <v>0</v>
      </c>
      <c r="I225" s="195">
        <v>0</v>
      </c>
      <c r="J225" s="195">
        <v>0</v>
      </c>
      <c r="K225" s="195">
        <v>0</v>
      </c>
      <c r="L225" s="195">
        <v>0</v>
      </c>
      <c r="M225" s="195">
        <v>0</v>
      </c>
      <c r="N225" s="195">
        <v>0</v>
      </c>
      <c r="O225" s="195">
        <v>0</v>
      </c>
    </row>
    <row r="226" spans="1:20" hidden="1" x14ac:dyDescent="0.25">
      <c r="A226" s="6">
        <v>554</v>
      </c>
      <c r="B226" s="74" t="s">
        <v>105</v>
      </c>
      <c r="C226" s="143">
        <f t="shared" si="21"/>
        <v>0</v>
      </c>
      <c r="D226" s="195">
        <v>0</v>
      </c>
      <c r="E226" s="195">
        <v>0</v>
      </c>
      <c r="F226" s="195">
        <v>0</v>
      </c>
      <c r="G226" s="195">
        <v>0</v>
      </c>
      <c r="H226" s="195">
        <v>0</v>
      </c>
      <c r="I226" s="195">
        <v>0</v>
      </c>
      <c r="J226" s="195">
        <v>0</v>
      </c>
      <c r="K226" s="195">
        <v>0</v>
      </c>
      <c r="L226" s="195">
        <v>0</v>
      </c>
      <c r="M226" s="195">
        <v>0</v>
      </c>
      <c r="N226" s="195">
        <v>0</v>
      </c>
      <c r="O226" s="195">
        <v>0</v>
      </c>
    </row>
    <row r="227" spans="1:20" x14ac:dyDescent="0.25">
      <c r="A227" s="6">
        <v>170</v>
      </c>
      <c r="B227" s="74" t="s">
        <v>463</v>
      </c>
      <c r="C227" s="143">
        <f t="shared" si="21"/>
        <v>0</v>
      </c>
      <c r="D227" s="195">
        <v>0</v>
      </c>
      <c r="E227" s="195">
        <v>0</v>
      </c>
      <c r="F227" s="195">
        <v>0</v>
      </c>
      <c r="G227" s="195">
        <v>0</v>
      </c>
      <c r="H227" s="195">
        <v>0</v>
      </c>
      <c r="I227" s="195">
        <v>0</v>
      </c>
      <c r="J227" s="195">
        <v>0</v>
      </c>
      <c r="K227" s="195">
        <v>0</v>
      </c>
      <c r="L227" s="195">
        <v>0</v>
      </c>
      <c r="M227" s="195">
        <v>0</v>
      </c>
      <c r="N227" s="195">
        <v>0</v>
      </c>
      <c r="O227" s="195">
        <v>0</v>
      </c>
    </row>
    <row r="228" spans="1:20" x14ac:dyDescent="0.25">
      <c r="A228" s="6">
        <v>769</v>
      </c>
      <c r="B228" s="74" t="s">
        <v>627</v>
      </c>
      <c r="C228" s="143">
        <f t="shared" si="21"/>
        <v>0</v>
      </c>
      <c r="D228" s="195">
        <v>0</v>
      </c>
      <c r="E228" s="195">
        <v>0</v>
      </c>
      <c r="F228" s="195">
        <v>0</v>
      </c>
      <c r="G228" s="195">
        <v>0</v>
      </c>
      <c r="H228" s="195">
        <v>0</v>
      </c>
      <c r="I228" s="195">
        <v>0</v>
      </c>
      <c r="J228" s="195">
        <v>0</v>
      </c>
      <c r="K228" s="195">
        <v>0</v>
      </c>
      <c r="L228" s="195">
        <v>0</v>
      </c>
      <c r="M228" s="195">
        <v>0</v>
      </c>
      <c r="N228" s="195">
        <v>0</v>
      </c>
      <c r="O228" s="195">
        <v>0</v>
      </c>
    </row>
    <row r="229" spans="1:20" x14ac:dyDescent="0.25">
      <c r="A229" s="6">
        <v>183</v>
      </c>
      <c r="B229" s="74" t="s">
        <v>611</v>
      </c>
      <c r="C229" s="143">
        <f t="shared" si="21"/>
        <v>0</v>
      </c>
      <c r="D229" s="195">
        <v>0</v>
      </c>
      <c r="E229" s="195">
        <v>0</v>
      </c>
      <c r="F229" s="195">
        <v>0</v>
      </c>
      <c r="G229" s="195">
        <v>0</v>
      </c>
      <c r="H229" s="195">
        <v>0</v>
      </c>
      <c r="I229" s="195">
        <v>0</v>
      </c>
      <c r="J229" s="195">
        <v>0</v>
      </c>
      <c r="K229" s="195">
        <v>0</v>
      </c>
      <c r="L229" s="195">
        <v>0</v>
      </c>
      <c r="M229" s="195">
        <v>0</v>
      </c>
      <c r="N229" s="195">
        <v>0</v>
      </c>
      <c r="O229" s="195">
        <v>0</v>
      </c>
    </row>
    <row r="230" spans="1:20" x14ac:dyDescent="0.25">
      <c r="A230" s="6">
        <v>184</v>
      </c>
      <c r="B230" s="74" t="s">
        <v>94</v>
      </c>
      <c r="C230" s="143">
        <f t="shared" si="21"/>
        <v>18278.28</v>
      </c>
      <c r="D230" s="195">
        <v>0</v>
      </c>
      <c r="E230" s="195">
        <v>0</v>
      </c>
      <c r="F230" s="195">
        <v>0</v>
      </c>
      <c r="G230" s="195">
        <v>0</v>
      </c>
      <c r="H230" s="195">
        <v>0</v>
      </c>
      <c r="I230" s="195">
        <v>0</v>
      </c>
      <c r="J230" s="195">
        <v>0</v>
      </c>
      <c r="K230" s="195">
        <v>0</v>
      </c>
      <c r="L230" s="195">
        <v>0</v>
      </c>
      <c r="M230" s="195">
        <v>6045.93</v>
      </c>
      <c r="N230" s="195">
        <v>6119.52</v>
      </c>
      <c r="O230" s="195">
        <v>6112.83</v>
      </c>
    </row>
    <row r="231" spans="1:20" x14ac:dyDescent="0.25">
      <c r="A231" s="6">
        <v>185</v>
      </c>
      <c r="B231" s="74" t="s">
        <v>96</v>
      </c>
      <c r="C231" s="143">
        <f t="shared" si="21"/>
        <v>44532.480000000003</v>
      </c>
      <c r="D231" s="195">
        <v>0</v>
      </c>
      <c r="E231" s="195">
        <v>0</v>
      </c>
      <c r="F231" s="195">
        <v>0</v>
      </c>
      <c r="G231" s="195">
        <v>0</v>
      </c>
      <c r="H231" s="195">
        <v>0</v>
      </c>
      <c r="I231" s="195">
        <v>0</v>
      </c>
      <c r="J231" s="195">
        <v>0</v>
      </c>
      <c r="K231" s="195">
        <v>0</v>
      </c>
      <c r="L231" s="195">
        <v>0</v>
      </c>
      <c r="M231" s="195">
        <v>5993.93</v>
      </c>
      <c r="N231" s="195">
        <v>38538.550000000003</v>
      </c>
      <c r="O231" s="195">
        <v>0</v>
      </c>
    </row>
    <row r="232" spans="1:20" x14ac:dyDescent="0.25">
      <c r="A232" s="6">
        <v>372</v>
      </c>
      <c r="B232" s="74" t="s">
        <v>110</v>
      </c>
      <c r="C232" s="143">
        <f t="shared" si="21"/>
        <v>15230.369999999999</v>
      </c>
      <c r="D232" s="195">
        <v>0</v>
      </c>
      <c r="E232" s="195">
        <v>0</v>
      </c>
      <c r="F232" s="195">
        <v>0</v>
      </c>
      <c r="G232" s="195">
        <v>0</v>
      </c>
      <c r="H232" s="195">
        <v>0</v>
      </c>
      <c r="I232" s="195">
        <v>0</v>
      </c>
      <c r="J232" s="195">
        <v>0</v>
      </c>
      <c r="K232" s="195">
        <v>0</v>
      </c>
      <c r="L232" s="195">
        <v>0</v>
      </c>
      <c r="M232" s="195">
        <v>4544.96</v>
      </c>
      <c r="N232" s="195">
        <v>3527.53</v>
      </c>
      <c r="O232" s="195">
        <v>7157.88</v>
      </c>
    </row>
    <row r="233" spans="1:20" ht="13.8" thickBot="1" x14ac:dyDescent="0.3">
      <c r="A233" s="6">
        <v>550</v>
      </c>
      <c r="B233" s="74" t="s">
        <v>95</v>
      </c>
      <c r="C233" s="143">
        <f t="shared" si="21"/>
        <v>15512.86</v>
      </c>
      <c r="D233" s="195">
        <v>0</v>
      </c>
      <c r="E233" s="195">
        <v>0</v>
      </c>
      <c r="F233" s="195">
        <v>0</v>
      </c>
      <c r="G233" s="195">
        <v>0</v>
      </c>
      <c r="H233" s="195">
        <v>0</v>
      </c>
      <c r="I233" s="195">
        <v>0</v>
      </c>
      <c r="J233" s="195">
        <v>0</v>
      </c>
      <c r="K233" s="195">
        <v>0</v>
      </c>
      <c r="L233" s="195">
        <v>0</v>
      </c>
      <c r="M233" s="195">
        <v>4577.18</v>
      </c>
      <c r="N233" s="195">
        <v>5887.54</v>
      </c>
      <c r="O233" s="195">
        <v>5048.1400000000003</v>
      </c>
    </row>
    <row r="234" spans="1:20" ht="13.8" hidden="1" thickBot="1" x14ac:dyDescent="0.3">
      <c r="A234" s="6">
        <v>573</v>
      </c>
      <c r="B234" s="74" t="s">
        <v>106</v>
      </c>
      <c r="C234" s="143">
        <f t="shared" ref="C234" si="22">SUM(D234:O234)</f>
        <v>0</v>
      </c>
      <c r="D234" s="196">
        <v>0</v>
      </c>
      <c r="E234" s="196">
        <v>0</v>
      </c>
      <c r="F234" s="196">
        <v>0</v>
      </c>
      <c r="G234" s="196">
        <v>0</v>
      </c>
      <c r="H234" s="196">
        <v>0</v>
      </c>
      <c r="I234" s="196">
        <v>0</v>
      </c>
      <c r="J234" s="196">
        <v>0</v>
      </c>
      <c r="K234" s="196">
        <v>0</v>
      </c>
      <c r="L234" s="196">
        <v>0</v>
      </c>
      <c r="M234" s="196">
        <v>0</v>
      </c>
      <c r="N234" s="196">
        <v>0</v>
      </c>
      <c r="O234" s="196">
        <v>0</v>
      </c>
    </row>
    <row r="235" spans="1:20" ht="13.8" thickBot="1" x14ac:dyDescent="0.3">
      <c r="A235" s="2"/>
      <c r="B235" s="90" t="s">
        <v>111</v>
      </c>
      <c r="C235" s="3">
        <f t="shared" ref="C235" si="23">SUM(C207:C234)</f>
        <v>4264005.8000000007</v>
      </c>
      <c r="D235" s="40">
        <f>SUM(D207:D234)</f>
        <v>0</v>
      </c>
      <c r="E235" s="40">
        <f>SUM(E207:E234)</f>
        <v>0</v>
      </c>
      <c r="F235" s="40">
        <f>SUM(F207:F234)</f>
        <v>0</v>
      </c>
      <c r="G235" s="40">
        <f>SUM(G207:G234)</f>
        <v>0</v>
      </c>
      <c r="H235" s="40">
        <f>SUM(H207:H234)</f>
        <v>0</v>
      </c>
      <c r="I235" s="40">
        <f t="shared" ref="I235:L235" si="24">SUM(I207:I234)</f>
        <v>0</v>
      </c>
      <c r="J235" s="40">
        <f t="shared" si="24"/>
        <v>0</v>
      </c>
      <c r="K235" s="40">
        <f t="shared" si="24"/>
        <v>0</v>
      </c>
      <c r="L235" s="40">
        <f t="shared" si="24"/>
        <v>0</v>
      </c>
      <c r="M235" s="40">
        <f>SUM(M207:M234)</f>
        <v>846078.44000000018</v>
      </c>
      <c r="N235" s="40">
        <f>SUM(N207:N234)</f>
        <v>1274982.4600000002</v>
      </c>
      <c r="O235" s="40">
        <f t="shared" ref="O235" si="25">SUM(O207:O234)</f>
        <v>2142944.9</v>
      </c>
    </row>
    <row r="236" spans="1:20" x14ac:dyDescent="0.25">
      <c r="A236" s="65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70"/>
    </row>
    <row r="237" spans="1:20" x14ac:dyDescent="0.25">
      <c r="A237" s="65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70"/>
    </row>
    <row r="238" spans="1:20" ht="13.8" thickBot="1" x14ac:dyDescent="0.3">
      <c r="A238" s="65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70"/>
    </row>
    <row r="239" spans="1:20" ht="13.8" thickBot="1" x14ac:dyDescent="0.3">
      <c r="A239" s="373" t="s">
        <v>112</v>
      </c>
      <c r="B239" s="374"/>
      <c r="C239" s="106" t="s">
        <v>1</v>
      </c>
      <c r="D239" s="32">
        <f>D2</f>
        <v>46022</v>
      </c>
      <c r="E239" s="32">
        <f t="shared" ref="E239:O239" si="26">E2</f>
        <v>45991</v>
      </c>
      <c r="F239" s="32">
        <f t="shared" si="26"/>
        <v>45961</v>
      </c>
      <c r="G239" s="32">
        <f t="shared" si="26"/>
        <v>45930</v>
      </c>
      <c r="H239" s="32">
        <f t="shared" si="26"/>
        <v>45900</v>
      </c>
      <c r="I239" s="32">
        <f t="shared" si="26"/>
        <v>45869</v>
      </c>
      <c r="J239" s="32">
        <f t="shared" si="26"/>
        <v>45838</v>
      </c>
      <c r="K239" s="32">
        <f t="shared" si="26"/>
        <v>45808</v>
      </c>
      <c r="L239" s="32">
        <f t="shared" si="26"/>
        <v>45777</v>
      </c>
      <c r="M239" s="32">
        <f t="shared" si="26"/>
        <v>45747</v>
      </c>
      <c r="N239" s="32">
        <f t="shared" si="26"/>
        <v>45716</v>
      </c>
      <c r="O239" s="32">
        <f t="shared" si="26"/>
        <v>45688</v>
      </c>
      <c r="Q239" s="142"/>
      <c r="R239" s="142"/>
      <c r="S239" s="142"/>
      <c r="T239" s="142"/>
    </row>
    <row r="240" spans="1:20" x14ac:dyDescent="0.25">
      <c r="A240" s="6"/>
      <c r="B240" s="74"/>
      <c r="C240" s="110"/>
      <c r="D240" s="54"/>
      <c r="E240" s="54"/>
      <c r="F240" s="54"/>
      <c r="G240" s="54"/>
      <c r="H240" s="54"/>
      <c r="I240" s="54"/>
      <c r="J240" s="54"/>
      <c r="K240" s="54"/>
      <c r="L240" s="54"/>
      <c r="M240" s="51"/>
      <c r="N240" s="54"/>
      <c r="O240" s="99"/>
      <c r="Q240" s="142"/>
      <c r="R240" s="142"/>
      <c r="S240" s="142"/>
      <c r="T240" s="142"/>
    </row>
    <row r="241" spans="1:20" x14ac:dyDescent="0.25">
      <c r="A241" s="31"/>
      <c r="B241" s="74" t="s">
        <v>113</v>
      </c>
      <c r="C241" s="110">
        <f>SUM(D241:O241)</f>
        <v>0</v>
      </c>
      <c r="D241" s="55">
        <f t="shared" ref="D241:E241" si="27">D285</f>
        <v>0</v>
      </c>
      <c r="E241" s="55">
        <f t="shared" si="27"/>
        <v>0</v>
      </c>
      <c r="F241" s="55">
        <f t="shared" ref="F241:G241" si="28">F285</f>
        <v>0</v>
      </c>
      <c r="G241" s="55">
        <f t="shared" si="28"/>
        <v>0</v>
      </c>
      <c r="H241" s="55">
        <f t="shared" ref="H241" si="29">H285</f>
        <v>0</v>
      </c>
      <c r="I241" s="55">
        <f>I286</f>
        <v>0</v>
      </c>
      <c r="J241" s="55">
        <f t="shared" ref="J241:O241" si="30">J285</f>
        <v>0</v>
      </c>
      <c r="K241" s="55">
        <f t="shared" si="30"/>
        <v>0</v>
      </c>
      <c r="L241" s="55">
        <f>L285</f>
        <v>0</v>
      </c>
      <c r="M241" s="55">
        <f t="shared" si="30"/>
        <v>0</v>
      </c>
      <c r="N241" s="55">
        <f t="shared" si="30"/>
        <v>0</v>
      </c>
      <c r="O241" s="55">
        <f t="shared" si="30"/>
        <v>0</v>
      </c>
      <c r="Q241" s="142"/>
      <c r="R241" s="178"/>
      <c r="S241" s="142"/>
      <c r="T241" s="142"/>
    </row>
    <row r="242" spans="1:20" x14ac:dyDescent="0.25">
      <c r="A242" s="31"/>
      <c r="B242" s="74"/>
      <c r="C242" s="110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5"/>
      <c r="Q242" s="142"/>
      <c r="R242" s="142"/>
      <c r="S242" s="142"/>
      <c r="T242" s="142"/>
    </row>
    <row r="243" spans="1:20" hidden="1" x14ac:dyDescent="0.25">
      <c r="A243" s="31"/>
      <c r="B243" s="74" t="s">
        <v>114</v>
      </c>
      <c r="C243" s="110">
        <f>SUM(D243:O243)</f>
        <v>0</v>
      </c>
      <c r="D243" s="54">
        <f t="shared" ref="D243:E243" si="31">D288</f>
        <v>0</v>
      </c>
      <c r="E243" s="54">
        <f t="shared" si="31"/>
        <v>0</v>
      </c>
      <c r="F243" s="54">
        <v>0</v>
      </c>
      <c r="G243" s="54">
        <v>0</v>
      </c>
      <c r="H243" s="54">
        <v>0</v>
      </c>
      <c r="I243" s="54">
        <v>0</v>
      </c>
      <c r="J243" s="54">
        <v>0</v>
      </c>
      <c r="K243" s="54">
        <v>0</v>
      </c>
      <c r="L243" s="54">
        <v>0</v>
      </c>
      <c r="M243" s="54">
        <v>0</v>
      </c>
      <c r="N243" s="54">
        <v>0</v>
      </c>
      <c r="O243" s="55">
        <v>0</v>
      </c>
      <c r="Q243" s="142"/>
      <c r="R243" s="142"/>
      <c r="S243" s="142"/>
      <c r="T243" s="142"/>
    </row>
    <row r="244" spans="1:20" hidden="1" x14ac:dyDescent="0.25">
      <c r="A244" s="197"/>
      <c r="B244" s="198"/>
      <c r="C244" s="110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5"/>
      <c r="Q244" s="142"/>
      <c r="R244" s="142"/>
      <c r="S244" s="142"/>
      <c r="T244" s="142"/>
    </row>
    <row r="245" spans="1:20" x14ac:dyDescent="0.25">
      <c r="A245" s="31"/>
      <c r="B245" s="74" t="s">
        <v>115</v>
      </c>
      <c r="C245" s="110">
        <f>SUM(D245:O245)</f>
        <v>24921.71</v>
      </c>
      <c r="D245" s="54">
        <f t="shared" ref="D245:E245" si="32">D291</f>
        <v>0</v>
      </c>
      <c r="E245" s="54">
        <f t="shared" si="32"/>
        <v>0</v>
      </c>
      <c r="F245" s="54">
        <f t="shared" ref="F245:G245" si="33">F291</f>
        <v>0</v>
      </c>
      <c r="G245" s="54">
        <f t="shared" si="33"/>
        <v>0</v>
      </c>
      <c r="H245" s="54">
        <f t="shared" ref="H245:I245" si="34">H291</f>
        <v>0</v>
      </c>
      <c r="I245" s="54">
        <f t="shared" si="34"/>
        <v>0</v>
      </c>
      <c r="J245" s="54">
        <f t="shared" ref="J245" si="35">J291</f>
        <v>0</v>
      </c>
      <c r="K245" s="54">
        <f>K291</f>
        <v>0</v>
      </c>
      <c r="L245" s="54">
        <f t="shared" ref="L245:M245" si="36">L291</f>
        <v>0</v>
      </c>
      <c r="M245" s="54">
        <f t="shared" si="36"/>
        <v>-1981.13</v>
      </c>
      <c r="N245" s="54">
        <f t="shared" ref="N245:O245" si="37">N291</f>
        <v>0</v>
      </c>
      <c r="O245" s="55">
        <f t="shared" si="37"/>
        <v>26902.84</v>
      </c>
      <c r="Q245" s="144"/>
      <c r="R245" s="142"/>
      <c r="S245" s="142"/>
      <c r="T245" s="142"/>
    </row>
    <row r="246" spans="1:20" x14ac:dyDescent="0.25">
      <c r="A246" s="31"/>
      <c r="B246" s="74"/>
      <c r="C246" s="110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5"/>
      <c r="Q246" s="142"/>
      <c r="R246" s="142"/>
      <c r="S246" s="142"/>
      <c r="T246" s="142"/>
    </row>
    <row r="247" spans="1:20" x14ac:dyDescent="0.25">
      <c r="A247" s="31"/>
      <c r="B247" s="74" t="s">
        <v>116</v>
      </c>
      <c r="C247" s="110">
        <f>SUM(D247:O247)</f>
        <v>291422.61999999994</v>
      </c>
      <c r="D247" s="33">
        <f t="shared" ref="D247:E247" si="38">D315</f>
        <v>0</v>
      </c>
      <c r="E247" s="33">
        <f t="shared" si="38"/>
        <v>0</v>
      </c>
      <c r="F247" s="55">
        <f t="shared" ref="F247:G247" si="39">F315</f>
        <v>0</v>
      </c>
      <c r="G247" s="55">
        <f t="shared" si="39"/>
        <v>0</v>
      </c>
      <c r="H247" s="55">
        <f t="shared" ref="H247:I247" si="40">H315</f>
        <v>0</v>
      </c>
      <c r="I247" s="55">
        <f t="shared" si="40"/>
        <v>0</v>
      </c>
      <c r="J247" s="55">
        <f t="shared" ref="J247:O247" si="41">J315</f>
        <v>0</v>
      </c>
      <c r="K247" s="55">
        <f t="shared" si="41"/>
        <v>0</v>
      </c>
      <c r="L247" s="55">
        <f t="shared" si="41"/>
        <v>0</v>
      </c>
      <c r="M247" s="55">
        <f t="shared" si="41"/>
        <v>111295.31999999998</v>
      </c>
      <c r="N247" s="55">
        <f t="shared" si="41"/>
        <v>87306.2</v>
      </c>
      <c r="O247" s="55">
        <f t="shared" si="41"/>
        <v>92821.099999999962</v>
      </c>
      <c r="Q247" s="142"/>
      <c r="R247" s="142"/>
      <c r="S247" s="142"/>
      <c r="T247" s="142"/>
    </row>
    <row r="248" spans="1:20" x14ac:dyDescent="0.25">
      <c r="A248" s="31"/>
      <c r="B248" s="74"/>
      <c r="C248" s="110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5"/>
      <c r="P248" s="144"/>
      <c r="Q248" s="142"/>
      <c r="R248" s="142"/>
      <c r="S248" s="142"/>
      <c r="T248" s="142"/>
    </row>
    <row r="249" spans="1:20" x14ac:dyDescent="0.25">
      <c r="A249" s="31"/>
      <c r="B249" s="74" t="s">
        <v>117</v>
      </c>
      <c r="C249" s="110">
        <f>SUM(D249:O249)</f>
        <v>3489.61</v>
      </c>
      <c r="D249" s="33">
        <f t="shared" ref="D249:E249" si="42">D364</f>
        <v>0</v>
      </c>
      <c r="E249" s="33">
        <f t="shared" si="42"/>
        <v>0</v>
      </c>
      <c r="F249" s="55">
        <f t="shared" ref="F249:G249" si="43">F364</f>
        <v>0</v>
      </c>
      <c r="G249" s="55">
        <f t="shared" si="43"/>
        <v>0</v>
      </c>
      <c r="H249" s="55">
        <f t="shared" ref="H249:I249" si="44">H364</f>
        <v>0</v>
      </c>
      <c r="I249" s="55">
        <f t="shared" si="44"/>
        <v>0</v>
      </c>
      <c r="J249" s="55">
        <f t="shared" ref="J249:O249" si="45">J364</f>
        <v>0</v>
      </c>
      <c r="K249" s="55">
        <f t="shared" si="45"/>
        <v>0</v>
      </c>
      <c r="L249" s="55">
        <f t="shared" si="45"/>
        <v>0</v>
      </c>
      <c r="M249" s="55">
        <f t="shared" si="45"/>
        <v>2979.46</v>
      </c>
      <c r="N249" s="55">
        <f t="shared" si="45"/>
        <v>510.15</v>
      </c>
      <c r="O249" s="55">
        <f t="shared" si="45"/>
        <v>0</v>
      </c>
      <c r="Q249" s="142"/>
      <c r="R249" s="142"/>
      <c r="S249" s="142"/>
      <c r="T249" s="142"/>
    </row>
    <row r="250" spans="1:20" x14ac:dyDescent="0.25">
      <c r="A250" s="31"/>
      <c r="B250" s="74"/>
      <c r="C250" s="110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5"/>
      <c r="Q250" s="142"/>
      <c r="R250" s="142"/>
      <c r="S250" s="142"/>
      <c r="T250" s="142"/>
    </row>
    <row r="251" spans="1:20" x14ac:dyDescent="0.25">
      <c r="A251" s="31"/>
      <c r="B251" s="74" t="s">
        <v>118</v>
      </c>
      <c r="C251" s="110">
        <f>SUM(D251:O251)</f>
        <v>718498.90000000014</v>
      </c>
      <c r="D251" s="33">
        <f t="shared" ref="D251:E251" si="46">D368</f>
        <v>0</v>
      </c>
      <c r="E251" s="33">
        <f t="shared" si="46"/>
        <v>0</v>
      </c>
      <c r="F251" s="55">
        <f t="shared" ref="F251:G251" si="47">F368</f>
        <v>0</v>
      </c>
      <c r="G251" s="55">
        <f t="shared" si="47"/>
        <v>0</v>
      </c>
      <c r="H251" s="55">
        <f t="shared" ref="H251:I251" si="48">H368</f>
        <v>0</v>
      </c>
      <c r="I251" s="55">
        <f t="shared" si="48"/>
        <v>0</v>
      </c>
      <c r="J251" s="55">
        <f t="shared" ref="J251:O251" si="49">J368</f>
        <v>0</v>
      </c>
      <c r="K251" s="55">
        <f t="shared" si="49"/>
        <v>0</v>
      </c>
      <c r="L251" s="55">
        <f t="shared" si="49"/>
        <v>0</v>
      </c>
      <c r="M251" s="55">
        <f t="shared" si="49"/>
        <v>226810.47000000003</v>
      </c>
      <c r="N251" s="55">
        <f t="shared" si="49"/>
        <v>230180.94000000006</v>
      </c>
      <c r="O251" s="55">
        <f t="shared" si="49"/>
        <v>261507.49000000002</v>
      </c>
      <c r="Q251" s="142"/>
      <c r="R251" s="142"/>
      <c r="S251" s="142"/>
      <c r="T251" s="142"/>
    </row>
    <row r="252" spans="1:20" x14ac:dyDescent="0.25">
      <c r="A252" s="31"/>
      <c r="B252" s="74"/>
      <c r="C252" s="110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5"/>
      <c r="P252" s="144"/>
      <c r="Q252" s="142"/>
      <c r="R252" s="142"/>
      <c r="S252" s="142"/>
      <c r="T252" s="142"/>
    </row>
    <row r="253" spans="1:20" x14ac:dyDescent="0.25">
      <c r="A253" s="31"/>
      <c r="B253" s="74" t="s">
        <v>119</v>
      </c>
      <c r="C253" s="110">
        <f>SUM(D253:O253)</f>
        <v>12000</v>
      </c>
      <c r="D253" s="33">
        <f t="shared" ref="D253:E253" si="50">D396</f>
        <v>0</v>
      </c>
      <c r="E253" s="33">
        <f t="shared" si="50"/>
        <v>0</v>
      </c>
      <c r="F253" s="55">
        <f t="shared" ref="F253:G253" si="51">F396</f>
        <v>0</v>
      </c>
      <c r="G253" s="55">
        <f t="shared" si="51"/>
        <v>0</v>
      </c>
      <c r="H253" s="55">
        <f t="shared" ref="H253:I253" si="52">H396</f>
        <v>0</v>
      </c>
      <c r="I253" s="55">
        <f t="shared" si="52"/>
        <v>0</v>
      </c>
      <c r="J253" s="55">
        <f t="shared" ref="J253:O253" si="53">J396</f>
        <v>0</v>
      </c>
      <c r="K253" s="55">
        <f t="shared" si="53"/>
        <v>0</v>
      </c>
      <c r="L253" s="55">
        <f t="shared" si="53"/>
        <v>0</v>
      </c>
      <c r="M253" s="55">
        <f t="shared" si="53"/>
        <v>4000</v>
      </c>
      <c r="N253" s="55">
        <f t="shared" si="53"/>
        <v>4000</v>
      </c>
      <c r="O253" s="55">
        <f t="shared" si="53"/>
        <v>4000</v>
      </c>
      <c r="Q253" s="142"/>
      <c r="R253" s="142"/>
      <c r="S253" s="142"/>
      <c r="T253" s="142"/>
    </row>
    <row r="254" spans="1:20" x14ac:dyDescent="0.25">
      <c r="A254" s="31"/>
      <c r="B254" s="74"/>
      <c r="C254" s="110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5"/>
      <c r="Q254" s="142"/>
      <c r="R254" s="142"/>
      <c r="S254" s="142"/>
      <c r="T254" s="142"/>
    </row>
    <row r="255" spans="1:20" x14ac:dyDescent="0.25">
      <c r="A255" s="31"/>
      <c r="B255" s="74" t="s">
        <v>120</v>
      </c>
      <c r="C255" s="110">
        <f>SUM(D255:O255)</f>
        <v>1272950.9899999998</v>
      </c>
      <c r="D255" s="33">
        <f t="shared" ref="D255:E255" si="54">D399</f>
        <v>0</v>
      </c>
      <c r="E255" s="33">
        <f t="shared" si="54"/>
        <v>0</v>
      </c>
      <c r="F255" s="55">
        <f t="shared" ref="F255:G255" si="55">F399</f>
        <v>0</v>
      </c>
      <c r="G255" s="55">
        <f t="shared" si="55"/>
        <v>0</v>
      </c>
      <c r="H255" s="55">
        <f t="shared" ref="H255:I255" si="56">H399</f>
        <v>0</v>
      </c>
      <c r="I255" s="55">
        <f t="shared" si="56"/>
        <v>0</v>
      </c>
      <c r="J255" s="55">
        <f t="shared" ref="J255:N255" si="57">J399</f>
        <v>0</v>
      </c>
      <c r="K255" s="55">
        <f t="shared" si="57"/>
        <v>0</v>
      </c>
      <c r="L255" s="55">
        <f t="shared" si="57"/>
        <v>0</v>
      </c>
      <c r="M255" s="55">
        <f t="shared" si="57"/>
        <v>113348.42</v>
      </c>
      <c r="N255" s="55">
        <f t="shared" si="57"/>
        <v>323933.68</v>
      </c>
      <c r="O255" s="55">
        <f>O399</f>
        <v>835668.8899999999</v>
      </c>
      <c r="Q255" s="142"/>
      <c r="R255" s="142"/>
      <c r="S255" s="142"/>
      <c r="T255" s="142"/>
    </row>
    <row r="256" spans="1:20" x14ac:dyDescent="0.25">
      <c r="A256" s="31"/>
      <c r="B256" s="74"/>
      <c r="C256" s="110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5"/>
      <c r="Q256" s="142" t="s">
        <v>71</v>
      </c>
      <c r="R256" s="142"/>
      <c r="S256" s="142"/>
      <c r="T256" s="142"/>
    </row>
    <row r="257" spans="1:20" x14ac:dyDescent="0.25">
      <c r="A257" s="31"/>
      <c r="B257" s="74" t="s">
        <v>121</v>
      </c>
      <c r="C257" s="110">
        <f>SUM(D257:O257)</f>
        <v>1425595.3599999999</v>
      </c>
      <c r="D257" s="51">
        <f t="shared" ref="D257:E257" si="58">D403+D412+D416+D432+D443+D449+D437+D408+D463+D446+D467+D472+D475</f>
        <v>0</v>
      </c>
      <c r="E257" s="51">
        <f t="shared" si="58"/>
        <v>0</v>
      </c>
      <c r="F257" s="33">
        <f t="shared" ref="F257:G257" si="59">F403+F412+F416+F432+F443+F449+F437+F408+F463+F446+F467+F472+F475</f>
        <v>0</v>
      </c>
      <c r="G257" s="33">
        <f t="shared" si="59"/>
        <v>0</v>
      </c>
      <c r="H257" s="33">
        <f t="shared" ref="H257" si="60">H403+H412+H416+H432+H443+H449+H437+H408+H463+H446+H467+H472+H475</f>
        <v>0</v>
      </c>
      <c r="I257" s="33">
        <f>I403+I412+I416+I432+I443+I449+I437+I408+I463+I446+I467+I472+I475</f>
        <v>0</v>
      </c>
      <c r="J257" s="33">
        <f t="shared" ref="J257:O257" si="61">J403+J412+J416+J432+J443+J449+J437+J408+J463+J446+J467+J472+J475</f>
        <v>0</v>
      </c>
      <c r="K257" s="33">
        <f t="shared" si="61"/>
        <v>0</v>
      </c>
      <c r="L257" s="33">
        <f t="shared" si="61"/>
        <v>0</v>
      </c>
      <c r="M257" s="33">
        <f t="shared" si="61"/>
        <v>166704.35</v>
      </c>
      <c r="N257" s="33">
        <f t="shared" si="61"/>
        <v>503540.96999999991</v>
      </c>
      <c r="O257" s="33">
        <f t="shared" si="61"/>
        <v>755350.04</v>
      </c>
      <c r="P257" s="178"/>
      <c r="Q257" s="142"/>
      <c r="R257" s="142"/>
      <c r="S257" s="142"/>
      <c r="T257" s="142"/>
    </row>
    <row r="258" spans="1:20" x14ac:dyDescent="0.25">
      <c r="A258" s="31"/>
      <c r="B258" s="74"/>
      <c r="C258" s="110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33"/>
      <c r="P258" s="144"/>
      <c r="Q258" s="142"/>
      <c r="R258" s="142"/>
      <c r="S258" s="142"/>
      <c r="T258" s="142"/>
    </row>
    <row r="259" spans="1:20" x14ac:dyDescent="0.25">
      <c r="A259" s="31"/>
      <c r="B259" s="74" t="s">
        <v>482</v>
      </c>
      <c r="C259" s="110">
        <f>SUM(D259:O259)</f>
        <v>44287.45</v>
      </c>
      <c r="D259" s="51">
        <f>SUM(D480)</f>
        <v>0</v>
      </c>
      <c r="E259" s="51">
        <f>SUM(E480)</f>
        <v>0</v>
      </c>
      <c r="F259" s="51">
        <f>SUM(F480)</f>
        <v>0</v>
      </c>
      <c r="G259" s="51">
        <f>SUM(G480)</f>
        <v>0</v>
      </c>
      <c r="H259" s="51">
        <f>SUM(H480)</f>
        <v>0</v>
      </c>
      <c r="I259" s="51">
        <f t="shared" ref="I259:O259" si="62">SUM(I480)</f>
        <v>0</v>
      </c>
      <c r="J259" s="51">
        <f t="shared" si="62"/>
        <v>0</v>
      </c>
      <c r="K259" s="51">
        <f t="shared" si="62"/>
        <v>0</v>
      </c>
      <c r="L259" s="51">
        <f t="shared" si="62"/>
        <v>0</v>
      </c>
      <c r="M259" s="51">
        <f t="shared" si="62"/>
        <v>18982.53</v>
      </c>
      <c r="N259" s="51">
        <f t="shared" si="62"/>
        <v>12982.53</v>
      </c>
      <c r="O259" s="33">
        <f t="shared" si="62"/>
        <v>12322.39</v>
      </c>
      <c r="P259" s="144"/>
      <c r="Q259" s="142"/>
      <c r="R259" s="142"/>
      <c r="S259" s="142"/>
      <c r="T259" s="142"/>
    </row>
    <row r="260" spans="1:20" x14ac:dyDescent="0.25">
      <c r="A260" s="31"/>
      <c r="B260" s="74"/>
      <c r="C260" s="110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33"/>
      <c r="P260" s="144"/>
      <c r="Q260" s="142"/>
      <c r="R260" s="142"/>
      <c r="S260" s="142"/>
      <c r="T260" s="142"/>
    </row>
    <row r="261" spans="1:20" x14ac:dyDescent="0.25">
      <c r="A261" s="31"/>
      <c r="B261" s="74" t="s">
        <v>122</v>
      </c>
      <c r="C261" s="110">
        <f>SUM(D261:O261)</f>
        <v>0</v>
      </c>
      <c r="D261" s="51">
        <f t="shared" ref="D261:E261" si="63">D482</f>
        <v>0</v>
      </c>
      <c r="E261" s="51">
        <f t="shared" si="63"/>
        <v>0</v>
      </c>
      <c r="F261" s="51">
        <f t="shared" ref="F261:G261" si="64">F482</f>
        <v>0</v>
      </c>
      <c r="G261" s="51">
        <f t="shared" si="64"/>
        <v>0</v>
      </c>
      <c r="H261" s="51">
        <f t="shared" ref="H261:I261" si="65">H482</f>
        <v>0</v>
      </c>
      <c r="I261" s="51">
        <f t="shared" si="65"/>
        <v>0</v>
      </c>
      <c r="J261" s="51">
        <f t="shared" ref="J261:O261" si="66">J482</f>
        <v>0</v>
      </c>
      <c r="K261" s="51">
        <f t="shared" si="66"/>
        <v>0</v>
      </c>
      <c r="L261" s="51">
        <f t="shared" si="66"/>
        <v>0</v>
      </c>
      <c r="M261" s="51">
        <f t="shared" si="66"/>
        <v>0</v>
      </c>
      <c r="N261" s="51">
        <f t="shared" si="66"/>
        <v>0</v>
      </c>
      <c r="O261" s="33">
        <f t="shared" si="66"/>
        <v>0</v>
      </c>
      <c r="P261" s="144"/>
      <c r="Q261" s="142"/>
      <c r="R261" s="142"/>
      <c r="S261" s="142"/>
      <c r="T261" s="142"/>
    </row>
    <row r="262" spans="1:20" x14ac:dyDescent="0.25">
      <c r="A262" s="31"/>
      <c r="B262" s="74"/>
      <c r="C262" s="110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33"/>
      <c r="Q262" s="142"/>
      <c r="R262" s="142"/>
      <c r="S262" s="142"/>
      <c r="T262" s="142"/>
    </row>
    <row r="263" spans="1:20" x14ac:dyDescent="0.25">
      <c r="A263" s="31"/>
      <c r="B263" s="74" t="s">
        <v>123</v>
      </c>
      <c r="C263" s="110">
        <f>SUM(D263:O263)</f>
        <v>105638</v>
      </c>
      <c r="D263" s="33">
        <f t="shared" ref="D263:E263" si="67">D496</f>
        <v>0</v>
      </c>
      <c r="E263" s="33">
        <f t="shared" si="67"/>
        <v>0</v>
      </c>
      <c r="F263" s="33">
        <f t="shared" ref="F263:G263" si="68">F496</f>
        <v>0</v>
      </c>
      <c r="G263" s="33">
        <f t="shared" si="68"/>
        <v>0</v>
      </c>
      <c r="H263" s="33">
        <f t="shared" ref="H263:I263" si="69">H496</f>
        <v>0</v>
      </c>
      <c r="I263" s="33">
        <f t="shared" si="69"/>
        <v>0</v>
      </c>
      <c r="J263" s="33">
        <f t="shared" ref="J263:O263" si="70">J496</f>
        <v>0</v>
      </c>
      <c r="K263" s="33">
        <f t="shared" si="70"/>
        <v>0</v>
      </c>
      <c r="L263" s="33">
        <f t="shared" si="70"/>
        <v>0</v>
      </c>
      <c r="M263" s="33">
        <f t="shared" si="70"/>
        <v>23519.780000000002</v>
      </c>
      <c r="N263" s="33">
        <f t="shared" si="70"/>
        <v>57025.479999999996</v>
      </c>
      <c r="O263" s="33">
        <f t="shared" si="70"/>
        <v>25092.739999999998</v>
      </c>
      <c r="P263" s="178"/>
      <c r="Q263" s="142"/>
      <c r="R263" s="142"/>
      <c r="S263" s="142"/>
      <c r="T263" s="142"/>
    </row>
    <row r="264" spans="1:20" x14ac:dyDescent="0.25">
      <c r="A264" s="31"/>
      <c r="B264" s="74"/>
      <c r="C264" s="110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33"/>
      <c r="P264" s="178"/>
      <c r="Q264" s="142"/>
      <c r="R264" s="142"/>
      <c r="S264" s="142"/>
      <c r="T264" s="142"/>
    </row>
    <row r="265" spans="1:20" x14ac:dyDescent="0.25">
      <c r="A265" s="31"/>
      <c r="B265" s="74" t="s">
        <v>503</v>
      </c>
      <c r="C265" s="110">
        <f>SUM(D265:O265)</f>
        <v>592192.1399999999</v>
      </c>
      <c r="D265" s="33">
        <f t="shared" ref="D265:E265" si="71">D538</f>
        <v>0</v>
      </c>
      <c r="E265" s="33">
        <f t="shared" si="71"/>
        <v>0</v>
      </c>
      <c r="F265" s="33">
        <f t="shared" ref="F265:G265" si="72">F538</f>
        <v>0</v>
      </c>
      <c r="G265" s="33">
        <f t="shared" si="72"/>
        <v>0</v>
      </c>
      <c r="H265" s="33">
        <f t="shared" ref="H265:I265" si="73">H538</f>
        <v>0</v>
      </c>
      <c r="I265" s="33">
        <f t="shared" si="73"/>
        <v>0</v>
      </c>
      <c r="J265" s="33">
        <f t="shared" ref="J265:O265" si="74">J538</f>
        <v>0</v>
      </c>
      <c r="K265" s="33">
        <f t="shared" si="74"/>
        <v>0</v>
      </c>
      <c r="L265" s="33">
        <f t="shared" si="74"/>
        <v>0</v>
      </c>
      <c r="M265" s="33">
        <f t="shared" si="74"/>
        <v>352829.36</v>
      </c>
      <c r="N265" s="33">
        <f t="shared" si="74"/>
        <v>208394.55</v>
      </c>
      <c r="O265" s="33">
        <f t="shared" si="74"/>
        <v>30968.230000000003</v>
      </c>
      <c r="P265" s="178"/>
      <c r="Q265" s="142"/>
      <c r="R265" s="142"/>
      <c r="S265" s="142"/>
      <c r="T265" s="142"/>
    </row>
    <row r="266" spans="1:20" x14ac:dyDescent="0.25">
      <c r="A266" s="31"/>
      <c r="B266" s="74"/>
      <c r="C266" s="110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33"/>
      <c r="Q266" s="142"/>
      <c r="R266" s="142"/>
      <c r="S266" s="142"/>
      <c r="T266" s="142"/>
    </row>
    <row r="267" spans="1:20" x14ac:dyDescent="0.25">
      <c r="A267" s="31"/>
      <c r="B267" s="74" t="s">
        <v>124</v>
      </c>
      <c r="C267" s="110">
        <f>SUM(D267:O267)</f>
        <v>15000</v>
      </c>
      <c r="D267" s="33">
        <f t="shared" ref="D267:E267" si="75">D575</f>
        <v>0</v>
      </c>
      <c r="E267" s="33">
        <f t="shared" si="75"/>
        <v>0</v>
      </c>
      <c r="F267" s="33">
        <f t="shared" ref="F267:G267" si="76">F575</f>
        <v>0</v>
      </c>
      <c r="G267" s="33">
        <f t="shared" si="76"/>
        <v>0</v>
      </c>
      <c r="H267" s="33">
        <f t="shared" ref="H267:I267" si="77">H575</f>
        <v>0</v>
      </c>
      <c r="I267" s="33">
        <f t="shared" si="77"/>
        <v>0</v>
      </c>
      <c r="J267" s="33">
        <f t="shared" ref="J267:O267" si="78">J575</f>
        <v>0</v>
      </c>
      <c r="K267" s="33">
        <f t="shared" si="78"/>
        <v>0</v>
      </c>
      <c r="L267" s="33">
        <f t="shared" si="78"/>
        <v>0</v>
      </c>
      <c r="M267" s="33">
        <f t="shared" si="78"/>
        <v>0</v>
      </c>
      <c r="N267" s="33">
        <f t="shared" si="78"/>
        <v>5000</v>
      </c>
      <c r="O267" s="33">
        <f t="shared" si="78"/>
        <v>10000</v>
      </c>
      <c r="Q267" s="142"/>
      <c r="R267" s="142"/>
      <c r="S267" s="142"/>
      <c r="T267" s="142"/>
    </row>
    <row r="268" spans="1:20" x14ac:dyDescent="0.25">
      <c r="A268" s="31"/>
      <c r="B268" s="74"/>
      <c r="C268" s="110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33"/>
      <c r="Q268" s="142"/>
      <c r="R268" s="142"/>
      <c r="S268" s="142"/>
      <c r="T268" s="142"/>
    </row>
    <row r="269" spans="1:20" x14ac:dyDescent="0.25">
      <c r="A269" s="31"/>
      <c r="B269" s="74" t="s">
        <v>125</v>
      </c>
      <c r="C269" s="110">
        <f>SUM(D269:O269)</f>
        <v>13760.97</v>
      </c>
      <c r="D269" s="33">
        <f t="shared" ref="D269:E269" si="79">D584</f>
        <v>0</v>
      </c>
      <c r="E269" s="33">
        <f t="shared" si="79"/>
        <v>0</v>
      </c>
      <c r="F269" s="33">
        <f t="shared" ref="F269:G269" si="80">F584</f>
        <v>0</v>
      </c>
      <c r="G269" s="33">
        <f t="shared" si="80"/>
        <v>0</v>
      </c>
      <c r="H269" s="33">
        <f t="shared" ref="H269:I269" si="81">H584</f>
        <v>0</v>
      </c>
      <c r="I269" s="33">
        <f t="shared" si="81"/>
        <v>0</v>
      </c>
      <c r="J269" s="33">
        <f t="shared" ref="J269:O269" si="82">J584</f>
        <v>0</v>
      </c>
      <c r="K269" s="33">
        <f t="shared" si="82"/>
        <v>0</v>
      </c>
      <c r="L269" s="33">
        <f t="shared" si="82"/>
        <v>0</v>
      </c>
      <c r="M269" s="33">
        <f t="shared" si="82"/>
        <v>983.5</v>
      </c>
      <c r="N269" s="33">
        <f t="shared" si="82"/>
        <v>12035.97</v>
      </c>
      <c r="O269" s="33">
        <f t="shared" si="82"/>
        <v>741.5</v>
      </c>
      <c r="Q269" s="142"/>
      <c r="R269" s="142"/>
      <c r="S269" s="142"/>
      <c r="T269" s="142"/>
    </row>
    <row r="270" spans="1:20" x14ac:dyDescent="0.25">
      <c r="A270" s="31"/>
      <c r="B270" s="74"/>
      <c r="C270" s="110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33"/>
      <c r="Q270" s="142"/>
      <c r="R270" s="142"/>
      <c r="S270" s="142"/>
      <c r="T270" s="142"/>
    </row>
    <row r="271" spans="1:20" x14ac:dyDescent="0.25">
      <c r="A271" s="31"/>
      <c r="B271" s="74" t="s">
        <v>126</v>
      </c>
      <c r="C271" s="110">
        <f>SUM(D271:O271)</f>
        <v>443736.19999999995</v>
      </c>
      <c r="D271" s="33">
        <f t="shared" ref="D271:E271" si="83">D590</f>
        <v>0</v>
      </c>
      <c r="E271" s="33">
        <f t="shared" si="83"/>
        <v>0</v>
      </c>
      <c r="F271" s="33">
        <f t="shared" ref="F271:G271" si="84">F590</f>
        <v>0</v>
      </c>
      <c r="G271" s="33">
        <f t="shared" si="84"/>
        <v>0</v>
      </c>
      <c r="H271" s="33">
        <f t="shared" ref="H271:I271" si="85">H590</f>
        <v>0</v>
      </c>
      <c r="I271" s="33">
        <f t="shared" si="85"/>
        <v>0</v>
      </c>
      <c r="J271" s="33">
        <f t="shared" ref="J271:O271" si="86">J590</f>
        <v>0</v>
      </c>
      <c r="K271" s="33">
        <f t="shared" si="86"/>
        <v>0</v>
      </c>
      <c r="L271" s="33">
        <f t="shared" si="86"/>
        <v>0</v>
      </c>
      <c r="M271" s="33">
        <f t="shared" si="86"/>
        <v>43038.670000000006</v>
      </c>
      <c r="N271" s="33">
        <f t="shared" si="86"/>
        <v>4924.2699999999995</v>
      </c>
      <c r="O271" s="33">
        <f t="shared" si="86"/>
        <v>395773.25999999995</v>
      </c>
      <c r="Q271" s="142"/>
      <c r="R271" s="142"/>
      <c r="S271" s="142"/>
      <c r="T271" s="142"/>
    </row>
    <row r="272" spans="1:20" x14ac:dyDescent="0.25">
      <c r="A272" s="31"/>
      <c r="B272" s="74"/>
      <c r="C272" s="110"/>
      <c r="D272" s="33"/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Q272" s="142"/>
      <c r="R272" s="142"/>
      <c r="S272" s="142"/>
      <c r="T272" s="142"/>
    </row>
    <row r="273" spans="1:20" x14ac:dyDescent="0.25">
      <c r="A273" s="31"/>
      <c r="B273" s="74" t="s">
        <v>501</v>
      </c>
      <c r="C273" s="110">
        <f>SUM(D273:O273)</f>
        <v>0</v>
      </c>
      <c r="D273" s="33">
        <f t="shared" ref="D273:E273" si="87">D596</f>
        <v>0</v>
      </c>
      <c r="E273" s="33">
        <f t="shared" si="87"/>
        <v>0</v>
      </c>
      <c r="F273" s="33">
        <f t="shared" ref="F273:G273" si="88">F596</f>
        <v>0</v>
      </c>
      <c r="G273" s="33">
        <f t="shared" si="88"/>
        <v>0</v>
      </c>
      <c r="H273" s="33">
        <f t="shared" ref="H273:I273" si="89">H596</f>
        <v>0</v>
      </c>
      <c r="I273" s="33">
        <f t="shared" si="89"/>
        <v>0</v>
      </c>
      <c r="J273" s="33">
        <f t="shared" ref="J273:O273" si="90">J596</f>
        <v>0</v>
      </c>
      <c r="K273" s="33">
        <f t="shared" si="90"/>
        <v>0</v>
      </c>
      <c r="L273" s="33">
        <f t="shared" si="90"/>
        <v>0</v>
      </c>
      <c r="M273" s="33">
        <f t="shared" si="90"/>
        <v>0</v>
      </c>
      <c r="N273" s="33">
        <f t="shared" si="90"/>
        <v>0</v>
      </c>
      <c r="O273" s="33">
        <f t="shared" si="90"/>
        <v>0</v>
      </c>
      <c r="Q273" s="142"/>
      <c r="R273" s="142"/>
      <c r="S273" s="142"/>
      <c r="T273" s="142"/>
    </row>
    <row r="274" spans="1:20" ht="13.8" thickBot="1" x14ac:dyDescent="0.3">
      <c r="A274" s="19"/>
      <c r="B274" s="109"/>
      <c r="C274" s="110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34"/>
      <c r="Q274" s="142"/>
      <c r="R274" s="142"/>
      <c r="S274" s="142"/>
      <c r="T274" s="142"/>
    </row>
    <row r="275" spans="1:20" ht="13.8" thickBot="1" x14ac:dyDescent="0.3">
      <c r="A275" s="7"/>
      <c r="B275" s="90" t="s">
        <v>127</v>
      </c>
      <c r="C275" s="111">
        <f t="shared" ref="C275:K275" si="91">SUM(C240:C273)</f>
        <v>4963493.95</v>
      </c>
      <c r="D275" s="36">
        <f>SUM(D240:D273)</f>
        <v>0</v>
      </c>
      <c r="E275" s="36">
        <f>SUM(E240:E273)</f>
        <v>0</v>
      </c>
      <c r="F275" s="36">
        <f>SUM(F240:F273)</f>
        <v>0</v>
      </c>
      <c r="G275" s="36">
        <f>SUM(G240:G273)</f>
        <v>0</v>
      </c>
      <c r="H275" s="36">
        <f>SUM(H240:H274)</f>
        <v>0</v>
      </c>
      <c r="I275" s="36">
        <f>SUM(I240:I273)</f>
        <v>0</v>
      </c>
      <c r="J275" s="36">
        <f>SUM(J240:J273)</f>
        <v>0</v>
      </c>
      <c r="K275" s="36">
        <f t="shared" si="91"/>
        <v>0</v>
      </c>
      <c r="L275" s="36">
        <f>SUM(L240:L273)</f>
        <v>0</v>
      </c>
      <c r="M275" s="36">
        <f>SUM(M240:M274)</f>
        <v>1062510.73</v>
      </c>
      <c r="N275" s="36">
        <f>SUM(N240:N273)</f>
        <v>1449834.74</v>
      </c>
      <c r="O275" s="36">
        <f>SUM(O240:O273)</f>
        <v>2451148.4799999995</v>
      </c>
    </row>
    <row r="276" spans="1:20" x14ac:dyDescent="0.25">
      <c r="A276" s="65"/>
      <c r="B276" s="13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70"/>
    </row>
    <row r="277" spans="1:20" ht="13.8" thickBot="1" x14ac:dyDescent="0.3">
      <c r="A277" s="65"/>
      <c r="B277" s="13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70"/>
    </row>
    <row r="278" spans="1:20" ht="13.8" thickBot="1" x14ac:dyDescent="0.3">
      <c r="A278" s="2"/>
      <c r="B278" s="90" t="s">
        <v>128</v>
      </c>
      <c r="C278" s="3">
        <f>C235-C275</f>
        <v>-699488.14999999944</v>
      </c>
      <c r="D278" s="3">
        <f t="shared" ref="D278:M278" si="92">D235-D275</f>
        <v>0</v>
      </c>
      <c r="E278" s="3">
        <f t="shared" si="92"/>
        <v>0</v>
      </c>
      <c r="F278" s="3">
        <f>F235-F275</f>
        <v>0</v>
      </c>
      <c r="G278" s="3">
        <f t="shared" si="92"/>
        <v>0</v>
      </c>
      <c r="H278" s="3">
        <f>H235-H275</f>
        <v>0</v>
      </c>
      <c r="I278" s="3">
        <f t="shared" si="92"/>
        <v>0</v>
      </c>
      <c r="J278" s="3">
        <f t="shared" si="92"/>
        <v>0</v>
      </c>
      <c r="K278" s="3">
        <f t="shared" si="92"/>
        <v>0</v>
      </c>
      <c r="L278" s="3">
        <f>L235-L275</f>
        <v>0</v>
      </c>
      <c r="M278" s="3">
        <f t="shared" si="92"/>
        <v>-216432.2899999998</v>
      </c>
      <c r="N278" s="3">
        <f>N235-N275</f>
        <v>-174852.2799999998</v>
      </c>
      <c r="O278" s="3">
        <f>O235-O275</f>
        <v>-308203.57999999961</v>
      </c>
    </row>
    <row r="279" spans="1:20" x14ac:dyDescent="0.25">
      <c r="A279" s="26"/>
      <c r="C279" s="143">
        <f>C278-M199</f>
        <v>0</v>
      </c>
      <c r="D279" s="63"/>
      <c r="E279" s="63"/>
      <c r="F279" s="63"/>
      <c r="G279" s="63"/>
      <c r="H279" s="63"/>
      <c r="I279" s="63"/>
      <c r="J279" s="63"/>
      <c r="K279" s="63"/>
      <c r="L279" s="63"/>
      <c r="M279" s="63"/>
      <c r="N279" s="63"/>
      <c r="O279" s="73"/>
    </row>
    <row r="280" spans="1:20" x14ac:dyDescent="0.25">
      <c r="A280" s="26"/>
      <c r="C280" s="63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74"/>
    </row>
    <row r="281" spans="1:20" x14ac:dyDescent="0.25">
      <c r="A281" s="26"/>
      <c r="C281" s="63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74"/>
      <c r="P281" s="182"/>
    </row>
    <row r="282" spans="1:20" ht="13.8" thickBot="1" x14ac:dyDescent="0.3">
      <c r="A282" s="26"/>
      <c r="C282" s="63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74"/>
    </row>
    <row r="283" spans="1:20" ht="13.8" thickBot="1" x14ac:dyDescent="0.3">
      <c r="A283" s="7"/>
      <c r="B283" s="90" t="s">
        <v>112</v>
      </c>
      <c r="C283" s="103" t="s">
        <v>1</v>
      </c>
      <c r="D283" s="32">
        <f>D2</f>
        <v>46022</v>
      </c>
      <c r="E283" s="32">
        <f t="shared" ref="E283:O283" si="93">E2</f>
        <v>45991</v>
      </c>
      <c r="F283" s="32">
        <f t="shared" si="93"/>
        <v>45961</v>
      </c>
      <c r="G283" s="32">
        <f t="shared" si="93"/>
        <v>45930</v>
      </c>
      <c r="H283" s="32">
        <f t="shared" si="93"/>
        <v>45900</v>
      </c>
      <c r="I283" s="32">
        <f t="shared" si="93"/>
        <v>45869</v>
      </c>
      <c r="J283" s="32">
        <f t="shared" si="93"/>
        <v>45838</v>
      </c>
      <c r="K283" s="32">
        <f t="shared" si="93"/>
        <v>45808</v>
      </c>
      <c r="L283" s="32">
        <f t="shared" si="93"/>
        <v>45777</v>
      </c>
      <c r="M283" s="32">
        <f t="shared" si="93"/>
        <v>45747</v>
      </c>
      <c r="N283" s="32">
        <f t="shared" si="93"/>
        <v>45716</v>
      </c>
      <c r="O283" s="32">
        <f t="shared" si="93"/>
        <v>45688</v>
      </c>
    </row>
    <row r="284" spans="1:20" ht="13.8" thickBot="1" x14ac:dyDescent="0.3">
      <c r="A284" s="101"/>
      <c r="B284" s="107"/>
      <c r="C284" s="104"/>
      <c r="D284" s="102"/>
      <c r="E284" s="102"/>
      <c r="F284" s="102"/>
      <c r="G284" s="102"/>
      <c r="H284" s="102"/>
      <c r="I284" s="102"/>
      <c r="J284" s="102"/>
      <c r="K284" s="102"/>
      <c r="L284" s="102"/>
      <c r="M284" s="102"/>
      <c r="N284" s="102"/>
      <c r="O284" s="102"/>
    </row>
    <row r="285" spans="1:20" ht="13.8" thickBot="1" x14ac:dyDescent="0.3">
      <c r="A285" s="2"/>
      <c r="B285" s="90" t="s">
        <v>113</v>
      </c>
      <c r="C285" s="3">
        <f>SUM(D285:O285)</f>
        <v>0</v>
      </c>
      <c r="D285" s="23">
        <f>D286</f>
        <v>0</v>
      </c>
      <c r="E285" s="23">
        <f>E286</f>
        <v>0</v>
      </c>
      <c r="F285" s="23">
        <f>F286</f>
        <v>0</v>
      </c>
      <c r="G285" s="23">
        <f>G286</f>
        <v>0</v>
      </c>
      <c r="H285" s="23">
        <f t="shared" ref="H285" si="94">H286</f>
        <v>0</v>
      </c>
      <c r="I285" s="23">
        <f>I286</f>
        <v>0</v>
      </c>
      <c r="J285" s="23">
        <f t="shared" ref="J285" si="95">J286</f>
        <v>0</v>
      </c>
      <c r="K285" s="23">
        <f>K286</f>
        <v>0</v>
      </c>
      <c r="L285" s="23">
        <f>L286</f>
        <v>0</v>
      </c>
      <c r="M285" s="23">
        <f>M286</f>
        <v>0</v>
      </c>
      <c r="N285" s="23">
        <f>N286</f>
        <v>0</v>
      </c>
      <c r="O285" s="23">
        <f t="shared" ref="O285" si="96">O286</f>
        <v>0</v>
      </c>
    </row>
    <row r="286" spans="1:20" x14ac:dyDescent="0.25">
      <c r="A286" s="6">
        <v>202</v>
      </c>
      <c r="B286" s="74" t="s">
        <v>129</v>
      </c>
      <c r="C286" s="30">
        <f>SUM(D286:O286)</f>
        <v>0</v>
      </c>
      <c r="D286" s="270">
        <v>0</v>
      </c>
      <c r="E286" s="236">
        <v>0</v>
      </c>
      <c r="F286" s="236">
        <v>0</v>
      </c>
      <c r="G286" s="236">
        <v>0</v>
      </c>
      <c r="H286" s="236">
        <v>0</v>
      </c>
      <c r="I286" s="236">
        <v>0</v>
      </c>
      <c r="J286" s="236">
        <v>0</v>
      </c>
      <c r="K286" s="236">
        <v>0</v>
      </c>
      <c r="L286" s="236">
        <v>0</v>
      </c>
      <c r="M286" s="236">
        <v>0</v>
      </c>
      <c r="N286" s="236">
        <v>0</v>
      </c>
      <c r="O286" s="236">
        <v>0</v>
      </c>
    </row>
    <row r="287" spans="1:20" ht="16.5" customHeight="1" thickBot="1" x14ac:dyDescent="0.3">
      <c r="A287" s="26"/>
      <c r="B287" s="66"/>
      <c r="C287" s="98"/>
      <c r="D287" s="271"/>
      <c r="E287" s="274"/>
      <c r="F287" s="274"/>
      <c r="G287" s="274"/>
      <c r="H287" s="274"/>
      <c r="I287" s="274"/>
      <c r="J287" s="274"/>
      <c r="K287" s="274"/>
      <c r="L287" s="274"/>
      <c r="M287" s="274"/>
      <c r="N287" s="274"/>
      <c r="O287" s="274"/>
    </row>
    <row r="288" spans="1:20" ht="13.8" hidden="1" thickBot="1" x14ac:dyDescent="0.3">
      <c r="A288" s="2"/>
      <c r="B288" s="90" t="s">
        <v>114</v>
      </c>
      <c r="C288" s="3">
        <f>SUM(C289)</f>
        <v>55</v>
      </c>
      <c r="D288" s="272">
        <f>SUM(D289)</f>
        <v>0</v>
      </c>
      <c r="E288" s="35">
        <f t="shared" ref="E288:O288" si="97">SUM(E289)</f>
        <v>0</v>
      </c>
      <c r="F288" s="35">
        <f t="shared" si="97"/>
        <v>1</v>
      </c>
      <c r="G288" s="35">
        <f t="shared" si="97"/>
        <v>2</v>
      </c>
      <c r="H288" s="35">
        <f t="shared" si="97"/>
        <v>3</v>
      </c>
      <c r="I288" s="35">
        <f t="shared" si="97"/>
        <v>4</v>
      </c>
      <c r="J288" s="35">
        <f t="shared" si="97"/>
        <v>5</v>
      </c>
      <c r="K288" s="35">
        <f t="shared" si="97"/>
        <v>6</v>
      </c>
      <c r="L288" s="35">
        <f t="shared" si="97"/>
        <v>7</v>
      </c>
      <c r="M288" s="35">
        <f t="shared" si="97"/>
        <v>8</v>
      </c>
      <c r="N288" s="35">
        <f t="shared" si="97"/>
        <v>9</v>
      </c>
      <c r="O288" s="35">
        <f t="shared" si="97"/>
        <v>10</v>
      </c>
    </row>
    <row r="289" spans="1:15" hidden="1" x14ac:dyDescent="0.25">
      <c r="A289" s="14">
        <v>571</v>
      </c>
      <c r="B289" s="108" t="s">
        <v>130</v>
      </c>
      <c r="C289" s="50">
        <f>SUM(D289:O289)</f>
        <v>55</v>
      </c>
      <c r="D289" s="240">
        <v>0</v>
      </c>
      <c r="E289" s="236">
        <v>0</v>
      </c>
      <c r="F289" s="236">
        <v>1</v>
      </c>
      <c r="G289" s="236">
        <v>2</v>
      </c>
      <c r="H289" s="236">
        <v>3</v>
      </c>
      <c r="I289" s="236">
        <v>4</v>
      </c>
      <c r="J289" s="236">
        <v>5</v>
      </c>
      <c r="K289" s="236">
        <v>6</v>
      </c>
      <c r="L289" s="236">
        <v>7</v>
      </c>
      <c r="M289" s="236">
        <v>8</v>
      </c>
      <c r="N289" s="236">
        <v>9</v>
      </c>
      <c r="O289" s="236">
        <v>10</v>
      </c>
    </row>
    <row r="290" spans="1:15" ht="13.8" hidden="1" thickBot="1" x14ac:dyDescent="0.3">
      <c r="A290" s="26"/>
      <c r="B290" s="66"/>
      <c r="C290" s="98"/>
      <c r="D290" s="273"/>
      <c r="E290" s="275"/>
      <c r="F290" s="275"/>
      <c r="G290" s="275"/>
      <c r="H290" s="275"/>
      <c r="I290" s="275"/>
      <c r="J290" s="275"/>
      <c r="K290" s="275"/>
      <c r="L290" s="275"/>
      <c r="M290" s="275"/>
      <c r="N290" s="275"/>
      <c r="O290" s="275"/>
    </row>
    <row r="291" spans="1:15" ht="13.8" thickBot="1" x14ac:dyDescent="0.3">
      <c r="A291" s="2"/>
      <c r="B291" s="90" t="s">
        <v>131</v>
      </c>
      <c r="C291" s="3">
        <f t="shared" ref="C291:I291" si="98">SUM(C292:C314)</f>
        <v>24921.71</v>
      </c>
      <c r="D291" s="3">
        <f>SUM(D292:D314)</f>
        <v>0</v>
      </c>
      <c r="E291" s="3">
        <f>SUM(E292:E314)</f>
        <v>0</v>
      </c>
      <c r="F291" s="3">
        <f>SUM(F292:F314)</f>
        <v>0</v>
      </c>
      <c r="G291" s="3">
        <f>SUM(G292:G314)</f>
        <v>0</v>
      </c>
      <c r="H291" s="3">
        <f t="shared" si="98"/>
        <v>0</v>
      </c>
      <c r="I291" s="3">
        <f t="shared" si="98"/>
        <v>0</v>
      </c>
      <c r="J291" s="3">
        <f t="shared" ref="J291" si="99">SUM(J292:J314)</f>
        <v>0</v>
      </c>
      <c r="K291" s="3">
        <f>SUM(K292:K314)</f>
        <v>0</v>
      </c>
      <c r="L291" s="3">
        <f>SUM(L292:L314)</f>
        <v>0</v>
      </c>
      <c r="M291" s="3">
        <f>SUM(M292:M314)</f>
        <v>-1981.13</v>
      </c>
      <c r="N291" s="3">
        <f>SUM(N292:N314)</f>
        <v>0</v>
      </c>
      <c r="O291" s="3">
        <f>SUM(O292:O314)</f>
        <v>26902.84</v>
      </c>
    </row>
    <row r="292" spans="1:15" ht="13.8" hidden="1" thickBot="1" x14ac:dyDescent="0.3">
      <c r="A292" s="6">
        <v>276</v>
      </c>
      <c r="B292" s="74" t="s">
        <v>132</v>
      </c>
      <c r="C292" s="30">
        <f t="shared" ref="C292" si="100">SUM(D292:O292)</f>
        <v>0</v>
      </c>
      <c r="D292" s="29">
        <v>0</v>
      </c>
      <c r="E292" s="29">
        <v>0</v>
      </c>
      <c r="F292" s="29">
        <v>0</v>
      </c>
      <c r="G292" s="29">
        <v>0</v>
      </c>
      <c r="H292" s="29">
        <v>0</v>
      </c>
      <c r="I292" s="29">
        <v>0</v>
      </c>
      <c r="J292" s="30">
        <v>0</v>
      </c>
      <c r="K292" s="30">
        <v>0</v>
      </c>
      <c r="L292" s="30">
        <v>0</v>
      </c>
      <c r="M292" s="30">
        <v>0</v>
      </c>
      <c r="N292" s="30">
        <v>0</v>
      </c>
      <c r="O292" s="71">
        <v>0</v>
      </c>
    </row>
    <row r="293" spans="1:15" x14ac:dyDescent="0.25">
      <c r="A293" s="6">
        <v>108</v>
      </c>
      <c r="B293" s="74" t="s">
        <v>600</v>
      </c>
      <c r="C293" s="306">
        <f>SUM(D293:O293)</f>
        <v>24921.71</v>
      </c>
      <c r="D293" s="270">
        <v>0</v>
      </c>
      <c r="E293" s="236">
        <v>0</v>
      </c>
      <c r="F293" s="236">
        <v>0</v>
      </c>
      <c r="G293" s="236">
        <v>0</v>
      </c>
      <c r="H293" s="236">
        <v>0</v>
      </c>
      <c r="I293" s="236">
        <v>0</v>
      </c>
      <c r="J293" s="236">
        <v>0</v>
      </c>
      <c r="K293" s="236">
        <v>0</v>
      </c>
      <c r="L293" s="236">
        <v>0</v>
      </c>
      <c r="M293" s="236">
        <v>0</v>
      </c>
      <c r="N293" s="236">
        <v>0</v>
      </c>
      <c r="O293" s="236">
        <v>24921.71</v>
      </c>
    </row>
    <row r="294" spans="1:15" x14ac:dyDescent="0.25">
      <c r="A294" s="6">
        <v>276</v>
      </c>
      <c r="B294" s="74" t="s">
        <v>132</v>
      </c>
      <c r="C294" s="306">
        <f t="shared" ref="C294:C296" si="101">SUM(D294:O294)</f>
        <v>0</v>
      </c>
      <c r="D294" s="270">
        <v>0</v>
      </c>
      <c r="E294" s="33">
        <v>0</v>
      </c>
      <c r="F294" s="33">
        <v>0</v>
      </c>
      <c r="G294" s="33">
        <v>0</v>
      </c>
      <c r="H294" s="33">
        <v>0</v>
      </c>
      <c r="I294" s="33">
        <v>0</v>
      </c>
      <c r="J294" s="33">
        <v>0</v>
      </c>
      <c r="K294" s="33">
        <v>0</v>
      </c>
      <c r="L294" s="33">
        <v>0</v>
      </c>
      <c r="M294" s="33">
        <v>-1423</v>
      </c>
      <c r="N294" s="33"/>
      <c r="O294" s="33">
        <v>1423</v>
      </c>
    </row>
    <row r="295" spans="1:15" x14ac:dyDescent="0.25">
      <c r="A295" s="6">
        <v>328</v>
      </c>
      <c r="B295" s="74" t="s">
        <v>133</v>
      </c>
      <c r="C295" s="306">
        <f t="shared" si="101"/>
        <v>0</v>
      </c>
      <c r="D295" s="270">
        <v>0</v>
      </c>
      <c r="E295" s="33">
        <v>0</v>
      </c>
      <c r="F295" s="33">
        <v>0</v>
      </c>
      <c r="G295" s="33">
        <v>0</v>
      </c>
      <c r="H295" s="33">
        <v>0</v>
      </c>
      <c r="I295" s="33">
        <v>0</v>
      </c>
      <c r="J295" s="33">
        <v>0</v>
      </c>
      <c r="K295" s="33">
        <v>0</v>
      </c>
      <c r="L295" s="33">
        <v>0</v>
      </c>
      <c r="M295" s="33">
        <v>0</v>
      </c>
      <c r="N295" s="33">
        <v>0</v>
      </c>
      <c r="O295" s="33">
        <v>0</v>
      </c>
    </row>
    <row r="296" spans="1:15" x14ac:dyDescent="0.25">
      <c r="A296" s="6">
        <v>382</v>
      </c>
      <c r="B296" s="74" t="s">
        <v>134</v>
      </c>
      <c r="C296" s="306">
        <f t="shared" si="101"/>
        <v>0</v>
      </c>
      <c r="D296" s="270">
        <v>0</v>
      </c>
      <c r="E296" s="33">
        <v>0</v>
      </c>
      <c r="F296" s="33">
        <v>0</v>
      </c>
      <c r="G296" s="33">
        <v>0</v>
      </c>
      <c r="H296" s="33">
        <v>0</v>
      </c>
      <c r="I296" s="33">
        <v>0</v>
      </c>
      <c r="J296" s="33">
        <v>0</v>
      </c>
      <c r="K296" s="33">
        <v>0</v>
      </c>
      <c r="L296" s="33">
        <v>0</v>
      </c>
      <c r="M296" s="33">
        <v>-558.13</v>
      </c>
      <c r="N296" s="33"/>
      <c r="O296" s="33">
        <v>558.13</v>
      </c>
    </row>
    <row r="297" spans="1:15" x14ac:dyDescent="0.25">
      <c r="A297" s="6">
        <v>401</v>
      </c>
      <c r="B297" s="74" t="s">
        <v>470</v>
      </c>
      <c r="C297" s="371">
        <f>SUM(D297:O297)</f>
        <v>0</v>
      </c>
      <c r="D297" s="270">
        <v>0</v>
      </c>
      <c r="E297" s="33">
        <v>0</v>
      </c>
      <c r="F297" s="33">
        <v>0</v>
      </c>
      <c r="G297" s="33">
        <v>0</v>
      </c>
      <c r="H297" s="33">
        <v>0</v>
      </c>
      <c r="I297" s="33">
        <v>0</v>
      </c>
      <c r="J297" s="33">
        <v>0</v>
      </c>
      <c r="K297" s="33">
        <v>0</v>
      </c>
      <c r="L297" s="33">
        <v>0</v>
      </c>
      <c r="M297" s="33">
        <v>0</v>
      </c>
      <c r="N297" s="33">
        <v>0</v>
      </c>
      <c r="O297" s="33">
        <v>0</v>
      </c>
    </row>
    <row r="298" spans="1:15" x14ac:dyDescent="0.25">
      <c r="A298" s="6">
        <v>430</v>
      </c>
      <c r="B298" s="74" t="s">
        <v>135</v>
      </c>
      <c r="C298" s="370">
        <f>SUM(D298:O298)</f>
        <v>0</v>
      </c>
      <c r="D298" s="270">
        <v>0</v>
      </c>
      <c r="E298" s="33">
        <v>0</v>
      </c>
      <c r="F298" s="33">
        <v>0</v>
      </c>
      <c r="G298" s="33">
        <v>0</v>
      </c>
      <c r="H298" s="33">
        <v>0</v>
      </c>
      <c r="I298" s="33">
        <v>0</v>
      </c>
      <c r="J298" s="33">
        <v>0</v>
      </c>
      <c r="K298" s="33">
        <v>0</v>
      </c>
      <c r="L298" s="33">
        <v>0</v>
      </c>
      <c r="M298" s="33">
        <v>0</v>
      </c>
      <c r="N298" s="33">
        <v>0</v>
      </c>
      <c r="O298" s="33">
        <v>0</v>
      </c>
    </row>
    <row r="299" spans="1:15" hidden="1" x14ac:dyDescent="0.25">
      <c r="A299" s="6">
        <v>441</v>
      </c>
      <c r="B299" s="74" t="s">
        <v>136</v>
      </c>
      <c r="C299" s="30">
        <f t="shared" ref="C299:C313" si="102">SUM(D299:O299)</f>
        <v>0</v>
      </c>
      <c r="D299" s="270">
        <v>0</v>
      </c>
      <c r="E299" s="33">
        <v>0</v>
      </c>
      <c r="F299" s="33">
        <v>0</v>
      </c>
      <c r="G299" s="33">
        <v>0</v>
      </c>
      <c r="H299" s="33">
        <v>0</v>
      </c>
      <c r="I299" s="33">
        <v>0</v>
      </c>
      <c r="J299" s="33">
        <v>0</v>
      </c>
      <c r="K299" s="33">
        <v>0</v>
      </c>
      <c r="L299" s="33">
        <v>0</v>
      </c>
      <c r="M299" s="33">
        <v>0</v>
      </c>
      <c r="N299" s="33">
        <v>0</v>
      </c>
      <c r="O299" s="33">
        <v>0</v>
      </c>
    </row>
    <row r="300" spans="1:15" hidden="1" x14ac:dyDescent="0.25">
      <c r="A300" s="6">
        <v>442</v>
      </c>
      <c r="B300" s="74" t="s">
        <v>137</v>
      </c>
      <c r="C300" s="30">
        <f t="shared" si="102"/>
        <v>0</v>
      </c>
      <c r="D300" s="270">
        <v>0</v>
      </c>
      <c r="E300" s="33">
        <v>0</v>
      </c>
      <c r="F300" s="33">
        <v>0</v>
      </c>
      <c r="G300" s="33">
        <v>0</v>
      </c>
      <c r="H300" s="33">
        <v>0</v>
      </c>
      <c r="I300" s="33">
        <v>0</v>
      </c>
      <c r="J300" s="33">
        <v>0</v>
      </c>
      <c r="K300" s="33">
        <v>0</v>
      </c>
      <c r="L300" s="33">
        <v>0</v>
      </c>
      <c r="M300" s="33">
        <v>0</v>
      </c>
      <c r="N300" s="33">
        <v>0</v>
      </c>
      <c r="O300" s="33">
        <v>0</v>
      </c>
    </row>
    <row r="301" spans="1:15" hidden="1" x14ac:dyDescent="0.25">
      <c r="A301" s="6">
        <v>443</v>
      </c>
      <c r="B301" s="74" t="s">
        <v>138</v>
      </c>
      <c r="C301" s="30">
        <f t="shared" si="102"/>
        <v>0</v>
      </c>
      <c r="D301" s="270">
        <v>0</v>
      </c>
      <c r="E301" s="33">
        <v>0</v>
      </c>
      <c r="F301" s="33">
        <v>0</v>
      </c>
      <c r="G301" s="33">
        <v>0</v>
      </c>
      <c r="H301" s="33">
        <v>0</v>
      </c>
      <c r="I301" s="33">
        <v>0</v>
      </c>
      <c r="J301" s="33">
        <v>0</v>
      </c>
      <c r="K301" s="33">
        <v>0</v>
      </c>
      <c r="L301" s="33">
        <v>0</v>
      </c>
      <c r="M301" s="33">
        <v>0</v>
      </c>
      <c r="N301" s="33">
        <v>0</v>
      </c>
      <c r="O301" s="33">
        <v>0</v>
      </c>
    </row>
    <row r="302" spans="1:15" hidden="1" x14ac:dyDescent="0.25">
      <c r="A302" s="6">
        <v>444</v>
      </c>
      <c r="B302" s="74" t="s">
        <v>139</v>
      </c>
      <c r="C302" s="30">
        <f t="shared" ref="C302" si="103">SUM(D302:O302)</f>
        <v>0</v>
      </c>
      <c r="D302" s="270">
        <v>0</v>
      </c>
      <c r="E302" s="33">
        <v>0</v>
      </c>
      <c r="F302" s="33">
        <v>0</v>
      </c>
      <c r="G302" s="33">
        <v>0</v>
      </c>
      <c r="H302" s="33">
        <v>0</v>
      </c>
      <c r="I302" s="33">
        <v>0</v>
      </c>
      <c r="J302" s="33">
        <v>0</v>
      </c>
      <c r="K302" s="33">
        <v>0</v>
      </c>
      <c r="L302" s="33">
        <v>0</v>
      </c>
      <c r="M302" s="33">
        <v>0</v>
      </c>
      <c r="N302" s="33">
        <v>0</v>
      </c>
      <c r="O302" s="33">
        <v>0</v>
      </c>
    </row>
    <row r="303" spans="1:15" hidden="1" x14ac:dyDescent="0.25">
      <c r="A303" s="6">
        <v>445</v>
      </c>
      <c r="B303" s="74" t="s">
        <v>140</v>
      </c>
      <c r="C303" s="30">
        <f t="shared" si="102"/>
        <v>0</v>
      </c>
      <c r="D303" s="270">
        <v>0</v>
      </c>
      <c r="E303" s="33">
        <v>0</v>
      </c>
      <c r="F303" s="33">
        <v>0</v>
      </c>
      <c r="G303" s="33">
        <v>0</v>
      </c>
      <c r="H303" s="33">
        <v>0</v>
      </c>
      <c r="I303" s="33">
        <v>0</v>
      </c>
      <c r="J303" s="33">
        <v>0</v>
      </c>
      <c r="K303" s="33">
        <v>0</v>
      </c>
      <c r="L303" s="33">
        <v>0</v>
      </c>
      <c r="M303" s="33">
        <v>0</v>
      </c>
      <c r="N303" s="33">
        <v>0</v>
      </c>
      <c r="O303" s="33">
        <v>0</v>
      </c>
    </row>
    <row r="304" spans="1:15" hidden="1" x14ac:dyDescent="0.25">
      <c r="A304" s="6">
        <v>446</v>
      </c>
      <c r="B304" s="74" t="s">
        <v>141</v>
      </c>
      <c r="C304" s="30">
        <f t="shared" si="102"/>
        <v>0</v>
      </c>
      <c r="D304" s="270">
        <v>0</v>
      </c>
      <c r="E304" s="33">
        <v>0</v>
      </c>
      <c r="F304" s="33">
        <v>0</v>
      </c>
      <c r="G304" s="33">
        <v>0</v>
      </c>
      <c r="H304" s="33">
        <v>0</v>
      </c>
      <c r="I304" s="33">
        <v>0</v>
      </c>
      <c r="J304" s="33">
        <v>0</v>
      </c>
      <c r="K304" s="33">
        <v>0</v>
      </c>
      <c r="L304" s="33">
        <v>0</v>
      </c>
      <c r="M304" s="33">
        <v>0</v>
      </c>
      <c r="N304" s="33">
        <v>0</v>
      </c>
      <c r="O304" s="33">
        <v>0</v>
      </c>
    </row>
    <row r="305" spans="1:15" hidden="1" x14ac:dyDescent="0.25">
      <c r="A305" s="6">
        <v>447</v>
      </c>
      <c r="B305" s="74" t="s">
        <v>142</v>
      </c>
      <c r="C305" s="30">
        <f t="shared" si="102"/>
        <v>0</v>
      </c>
      <c r="D305" s="270">
        <v>0</v>
      </c>
      <c r="E305" s="33">
        <v>0</v>
      </c>
      <c r="F305" s="33">
        <v>0</v>
      </c>
      <c r="G305" s="33">
        <v>0</v>
      </c>
      <c r="H305" s="33">
        <v>0</v>
      </c>
      <c r="I305" s="33">
        <v>0</v>
      </c>
      <c r="J305" s="33">
        <v>0</v>
      </c>
      <c r="K305" s="33">
        <v>0</v>
      </c>
      <c r="L305" s="33">
        <v>0</v>
      </c>
      <c r="M305" s="33">
        <v>0</v>
      </c>
      <c r="N305" s="33">
        <v>0</v>
      </c>
      <c r="O305" s="33">
        <v>0</v>
      </c>
    </row>
    <row r="306" spans="1:15" hidden="1" x14ac:dyDescent="0.25">
      <c r="A306" s="6">
        <v>448</v>
      </c>
      <c r="B306" s="74" t="s">
        <v>143</v>
      </c>
      <c r="C306" s="30">
        <f t="shared" si="102"/>
        <v>0</v>
      </c>
      <c r="D306" s="270">
        <v>0</v>
      </c>
      <c r="E306" s="33">
        <v>0</v>
      </c>
      <c r="F306" s="33">
        <v>0</v>
      </c>
      <c r="G306" s="33">
        <v>0</v>
      </c>
      <c r="H306" s="33">
        <v>0</v>
      </c>
      <c r="I306" s="33">
        <v>0</v>
      </c>
      <c r="J306" s="33">
        <v>0</v>
      </c>
      <c r="K306" s="33">
        <v>0</v>
      </c>
      <c r="L306" s="33">
        <v>0</v>
      </c>
      <c r="M306" s="33">
        <v>0</v>
      </c>
      <c r="N306" s="33">
        <v>0</v>
      </c>
      <c r="O306" s="33">
        <v>0</v>
      </c>
    </row>
    <row r="307" spans="1:15" hidden="1" x14ac:dyDescent="0.25">
      <c r="A307" s="6">
        <v>449</v>
      </c>
      <c r="B307" s="74" t="s">
        <v>144</v>
      </c>
      <c r="C307" s="30">
        <f t="shared" si="102"/>
        <v>0</v>
      </c>
      <c r="D307" s="270">
        <v>0</v>
      </c>
      <c r="E307" s="33">
        <v>0</v>
      </c>
      <c r="F307" s="33">
        <v>0</v>
      </c>
      <c r="G307" s="33">
        <v>0</v>
      </c>
      <c r="H307" s="33">
        <v>0</v>
      </c>
      <c r="I307" s="33">
        <v>0</v>
      </c>
      <c r="J307" s="33">
        <v>0</v>
      </c>
      <c r="K307" s="33">
        <v>0</v>
      </c>
      <c r="L307" s="33">
        <v>0</v>
      </c>
      <c r="M307" s="33">
        <v>0</v>
      </c>
      <c r="N307" s="33">
        <v>0</v>
      </c>
      <c r="O307" s="33">
        <v>0</v>
      </c>
    </row>
    <row r="308" spans="1:15" hidden="1" x14ac:dyDescent="0.25">
      <c r="A308" s="6">
        <v>450</v>
      </c>
      <c r="B308" s="74" t="s">
        <v>145</v>
      </c>
      <c r="C308" s="30">
        <f t="shared" si="102"/>
        <v>0</v>
      </c>
      <c r="D308" s="270">
        <v>0</v>
      </c>
      <c r="E308" s="33">
        <v>0</v>
      </c>
      <c r="F308" s="33">
        <v>0</v>
      </c>
      <c r="G308" s="33">
        <v>0</v>
      </c>
      <c r="H308" s="33">
        <v>0</v>
      </c>
      <c r="I308" s="33">
        <v>0</v>
      </c>
      <c r="J308" s="33">
        <v>0</v>
      </c>
      <c r="K308" s="33">
        <v>0</v>
      </c>
      <c r="L308" s="33">
        <v>0</v>
      </c>
      <c r="M308" s="33">
        <v>0</v>
      </c>
      <c r="N308" s="33">
        <v>0</v>
      </c>
      <c r="O308" s="33">
        <v>0</v>
      </c>
    </row>
    <row r="309" spans="1:15" hidden="1" x14ac:dyDescent="0.25">
      <c r="A309" s="6">
        <v>451</v>
      </c>
      <c r="B309" s="74" t="s">
        <v>146</v>
      </c>
      <c r="C309" s="30">
        <f t="shared" si="102"/>
        <v>0</v>
      </c>
      <c r="D309" s="270">
        <v>0</v>
      </c>
      <c r="E309" s="33">
        <v>0</v>
      </c>
      <c r="F309" s="33">
        <v>0</v>
      </c>
      <c r="G309" s="33">
        <v>0</v>
      </c>
      <c r="H309" s="33">
        <v>0</v>
      </c>
      <c r="I309" s="33">
        <v>0</v>
      </c>
      <c r="J309" s="33">
        <v>0</v>
      </c>
      <c r="K309" s="33">
        <v>0</v>
      </c>
      <c r="L309" s="33">
        <v>0</v>
      </c>
      <c r="M309" s="33">
        <v>0</v>
      </c>
      <c r="N309" s="33">
        <v>0</v>
      </c>
      <c r="O309" s="33">
        <v>0</v>
      </c>
    </row>
    <row r="310" spans="1:15" hidden="1" x14ac:dyDescent="0.25">
      <c r="A310" s="6">
        <v>453</v>
      </c>
      <c r="B310" s="74" t="s">
        <v>147</v>
      </c>
      <c r="C310" s="30">
        <f t="shared" si="102"/>
        <v>0</v>
      </c>
      <c r="D310" s="270">
        <v>0</v>
      </c>
      <c r="E310" s="33">
        <v>0</v>
      </c>
      <c r="F310" s="33">
        <v>0</v>
      </c>
      <c r="G310" s="33">
        <v>0</v>
      </c>
      <c r="H310" s="33">
        <v>0</v>
      </c>
      <c r="I310" s="33">
        <v>0</v>
      </c>
      <c r="J310" s="33">
        <v>0</v>
      </c>
      <c r="K310" s="33">
        <v>0</v>
      </c>
      <c r="L310" s="33">
        <v>0</v>
      </c>
      <c r="M310" s="33">
        <v>0</v>
      </c>
      <c r="N310" s="33">
        <v>0</v>
      </c>
      <c r="O310" s="33">
        <v>0</v>
      </c>
    </row>
    <row r="311" spans="1:15" hidden="1" x14ac:dyDescent="0.25">
      <c r="A311" s="6">
        <v>454</v>
      </c>
      <c r="B311" s="74" t="s">
        <v>148</v>
      </c>
      <c r="C311" s="30">
        <f t="shared" ref="C311:C312" si="104">SUM(D311:O311)</f>
        <v>0</v>
      </c>
      <c r="D311" s="270">
        <v>0</v>
      </c>
      <c r="E311" s="33">
        <v>0</v>
      </c>
      <c r="F311" s="33">
        <v>0</v>
      </c>
      <c r="G311" s="33">
        <v>0</v>
      </c>
      <c r="H311" s="33">
        <v>0</v>
      </c>
      <c r="I311" s="33">
        <v>0</v>
      </c>
      <c r="J311" s="33">
        <v>0</v>
      </c>
      <c r="K311" s="33">
        <v>0</v>
      </c>
      <c r="L311" s="33">
        <v>0</v>
      </c>
      <c r="M311" s="33">
        <v>0</v>
      </c>
      <c r="N311" s="33">
        <v>0</v>
      </c>
      <c r="O311" s="33">
        <v>0</v>
      </c>
    </row>
    <row r="312" spans="1:15" hidden="1" x14ac:dyDescent="0.25">
      <c r="A312" s="6">
        <v>591</v>
      </c>
      <c r="B312" s="74" t="s">
        <v>149</v>
      </c>
      <c r="C312" s="30">
        <f t="shared" si="104"/>
        <v>0</v>
      </c>
      <c r="D312" s="270">
        <v>0</v>
      </c>
      <c r="E312" s="33">
        <v>0</v>
      </c>
      <c r="F312" s="33">
        <v>0</v>
      </c>
      <c r="G312" s="33">
        <v>0</v>
      </c>
      <c r="H312" s="33">
        <v>0</v>
      </c>
      <c r="I312" s="33">
        <v>0</v>
      </c>
      <c r="J312" s="33">
        <v>0</v>
      </c>
      <c r="K312" s="33">
        <v>0</v>
      </c>
      <c r="L312" s="33">
        <v>0</v>
      </c>
      <c r="M312" s="33">
        <v>0</v>
      </c>
      <c r="N312" s="33">
        <v>0</v>
      </c>
      <c r="O312" s="33">
        <v>0</v>
      </c>
    </row>
    <row r="313" spans="1:15" hidden="1" x14ac:dyDescent="0.25">
      <c r="A313" s="6">
        <v>653</v>
      </c>
      <c r="B313" s="74" t="s">
        <v>150</v>
      </c>
      <c r="C313" s="30">
        <f t="shared" si="102"/>
        <v>0</v>
      </c>
      <c r="D313" s="270">
        <v>0</v>
      </c>
      <c r="E313" s="33">
        <v>0</v>
      </c>
      <c r="F313" s="33">
        <v>0</v>
      </c>
      <c r="G313" s="33">
        <v>0</v>
      </c>
      <c r="H313" s="33">
        <v>0</v>
      </c>
      <c r="I313" s="33">
        <v>0</v>
      </c>
      <c r="J313" s="33">
        <v>0</v>
      </c>
      <c r="K313" s="33">
        <v>0</v>
      </c>
      <c r="L313" s="33">
        <v>0</v>
      </c>
      <c r="M313" s="33">
        <v>0</v>
      </c>
      <c r="N313" s="33">
        <v>0</v>
      </c>
      <c r="O313" s="33">
        <v>0</v>
      </c>
    </row>
    <row r="314" spans="1:15" ht="9" customHeight="1" thickBot="1" x14ac:dyDescent="0.3">
      <c r="A314" s="15"/>
      <c r="B314" s="109"/>
      <c r="C314" s="30"/>
      <c r="D314" s="248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</row>
    <row r="315" spans="1:15" ht="13.8" thickBot="1" x14ac:dyDescent="0.3">
      <c r="A315" s="2"/>
      <c r="B315" s="90" t="s">
        <v>151</v>
      </c>
      <c r="C315" s="253">
        <f>SUM(D315:O315)</f>
        <v>291422.61999999994</v>
      </c>
      <c r="D315" s="245">
        <f>SUM(D316:D363)</f>
        <v>0</v>
      </c>
      <c r="E315" s="255">
        <f>SUM(E316:E363)</f>
        <v>0</v>
      </c>
      <c r="F315" s="255">
        <f>SUM(F316:F363)</f>
        <v>0</v>
      </c>
      <c r="G315" s="289">
        <f>SUM(G316:G363)</f>
        <v>0</v>
      </c>
      <c r="H315" s="255">
        <f>SUM(H316:H363)</f>
        <v>0</v>
      </c>
      <c r="I315" s="245">
        <f t="shared" ref="I315" si="105">SUM(I316:I363)</f>
        <v>0</v>
      </c>
      <c r="J315" s="289">
        <f t="shared" ref="J315:O315" si="106">SUM(J316:J363)</f>
        <v>0</v>
      </c>
      <c r="K315" s="255">
        <f t="shared" si="106"/>
        <v>0</v>
      </c>
      <c r="L315" s="245">
        <f t="shared" si="106"/>
        <v>0</v>
      </c>
      <c r="M315" s="255">
        <f>SUM(M316:M363)</f>
        <v>111295.31999999998</v>
      </c>
      <c r="N315" s="255">
        <f>SUM(N316:N363)</f>
        <v>87306.2</v>
      </c>
      <c r="O315" s="245">
        <f t="shared" si="106"/>
        <v>92821.099999999962</v>
      </c>
    </row>
    <row r="316" spans="1:15" x14ac:dyDescent="0.25">
      <c r="A316" s="6">
        <v>110</v>
      </c>
      <c r="B316" s="27" t="s">
        <v>152</v>
      </c>
      <c r="C316" s="315">
        <f t="shared" ref="C316:C366" si="107">SUM(D316:O316)</f>
        <v>10109.65</v>
      </c>
      <c r="D316" s="236">
        <v>0</v>
      </c>
      <c r="E316" s="236">
        <v>0</v>
      </c>
      <c r="F316" s="236">
        <v>0</v>
      </c>
      <c r="G316" s="236">
        <v>0</v>
      </c>
      <c r="H316" s="236">
        <v>0</v>
      </c>
      <c r="I316" s="236">
        <v>0</v>
      </c>
      <c r="J316" s="236">
        <v>0</v>
      </c>
      <c r="K316" s="236">
        <v>0</v>
      </c>
      <c r="L316" s="236">
        <v>0</v>
      </c>
      <c r="M316" s="236">
        <v>10109.65</v>
      </c>
      <c r="N316" s="236">
        <v>0</v>
      </c>
      <c r="O316" s="236">
        <v>0</v>
      </c>
    </row>
    <row r="317" spans="1:15" x14ac:dyDescent="0.25">
      <c r="A317" s="6">
        <v>111</v>
      </c>
      <c r="B317" s="27" t="s">
        <v>153</v>
      </c>
      <c r="C317" s="316">
        <f t="shared" si="107"/>
        <v>0</v>
      </c>
      <c r="D317" s="33">
        <v>0</v>
      </c>
      <c r="E317" s="33">
        <v>0</v>
      </c>
      <c r="F317" s="33">
        <v>0</v>
      </c>
      <c r="G317" s="33">
        <v>0</v>
      </c>
      <c r="H317" s="33">
        <v>0</v>
      </c>
      <c r="I317" s="33">
        <v>0</v>
      </c>
      <c r="J317" s="33">
        <v>0</v>
      </c>
      <c r="K317" s="33">
        <v>0</v>
      </c>
      <c r="L317" s="33">
        <v>0</v>
      </c>
      <c r="M317" s="33">
        <v>0</v>
      </c>
      <c r="N317" s="33">
        <v>0</v>
      </c>
      <c r="O317" s="33">
        <v>0</v>
      </c>
    </row>
    <row r="318" spans="1:15" x14ac:dyDescent="0.25">
      <c r="A318" s="6">
        <v>112</v>
      </c>
      <c r="B318" s="27" t="s">
        <v>547</v>
      </c>
      <c r="C318" s="316">
        <f t="shared" si="107"/>
        <v>0</v>
      </c>
      <c r="D318" s="33">
        <v>0</v>
      </c>
      <c r="E318" s="33">
        <v>0</v>
      </c>
      <c r="F318" s="33">
        <v>0</v>
      </c>
      <c r="G318" s="33">
        <v>0</v>
      </c>
      <c r="H318" s="33">
        <v>0</v>
      </c>
      <c r="I318" s="33">
        <v>0</v>
      </c>
      <c r="J318" s="33">
        <v>0</v>
      </c>
      <c r="K318" s="33">
        <v>0</v>
      </c>
      <c r="L318" s="33">
        <v>0</v>
      </c>
      <c r="M318" s="33">
        <v>0</v>
      </c>
      <c r="N318" s="33">
        <v>0</v>
      </c>
      <c r="O318" s="33">
        <v>0</v>
      </c>
    </row>
    <row r="319" spans="1:15" x14ac:dyDescent="0.25">
      <c r="A319" s="6">
        <v>113</v>
      </c>
      <c r="B319" s="27" t="s">
        <v>149</v>
      </c>
      <c r="C319" s="313">
        <f t="shared" si="107"/>
        <v>0</v>
      </c>
      <c r="D319" s="33">
        <v>0</v>
      </c>
      <c r="E319" s="33">
        <v>0</v>
      </c>
      <c r="F319" s="33">
        <v>0</v>
      </c>
      <c r="G319" s="33">
        <v>0</v>
      </c>
      <c r="H319" s="33">
        <v>0</v>
      </c>
      <c r="I319" s="33">
        <v>0</v>
      </c>
      <c r="J319" s="33">
        <v>0</v>
      </c>
      <c r="K319" s="33">
        <v>0</v>
      </c>
      <c r="L319" s="33">
        <v>0</v>
      </c>
      <c r="M319" s="33">
        <v>0</v>
      </c>
      <c r="N319" s="33">
        <v>0</v>
      </c>
      <c r="O319" s="33">
        <v>0</v>
      </c>
    </row>
    <row r="320" spans="1:15" x14ac:dyDescent="0.25">
      <c r="A320" s="53">
        <v>209</v>
      </c>
      <c r="B320" s="251" t="s">
        <v>154</v>
      </c>
      <c r="C320" s="316">
        <f t="shared" si="107"/>
        <v>7882.64</v>
      </c>
      <c r="D320" s="33">
        <v>0</v>
      </c>
      <c r="E320" s="33">
        <v>0</v>
      </c>
      <c r="F320" s="33">
        <v>0</v>
      </c>
      <c r="G320" s="33">
        <v>0</v>
      </c>
      <c r="H320" s="33">
        <v>0</v>
      </c>
      <c r="I320" s="33">
        <v>0</v>
      </c>
      <c r="J320" s="33">
        <v>0</v>
      </c>
      <c r="K320" s="33">
        <v>0</v>
      </c>
      <c r="L320" s="33">
        <v>0</v>
      </c>
      <c r="M320" s="33">
        <v>2668.53</v>
      </c>
      <c r="N320" s="33">
        <v>2668.53</v>
      </c>
      <c r="O320" s="33">
        <v>2545.58</v>
      </c>
    </row>
    <row r="321" spans="1:15" x14ac:dyDescent="0.25">
      <c r="A321" s="53">
        <v>265</v>
      </c>
      <c r="B321" s="251" t="s">
        <v>155</v>
      </c>
      <c r="C321" s="313">
        <f t="shared" si="107"/>
        <v>85949.88</v>
      </c>
      <c r="D321" s="33">
        <v>0</v>
      </c>
      <c r="E321" s="33">
        <v>0</v>
      </c>
      <c r="F321" s="33">
        <v>0</v>
      </c>
      <c r="G321" s="33">
        <v>0</v>
      </c>
      <c r="H321" s="33">
        <v>0</v>
      </c>
      <c r="I321" s="33">
        <v>0</v>
      </c>
      <c r="J321" s="33">
        <v>0</v>
      </c>
      <c r="K321" s="33">
        <v>0</v>
      </c>
      <c r="L321" s="33">
        <v>0</v>
      </c>
      <c r="M321" s="33">
        <v>35020.879999999997</v>
      </c>
      <c r="N321" s="33">
        <v>21554.21</v>
      </c>
      <c r="O321" s="33">
        <v>29374.79</v>
      </c>
    </row>
    <row r="322" spans="1:15" x14ac:dyDescent="0.25">
      <c r="A322" s="53">
        <v>266</v>
      </c>
      <c r="B322" s="251" t="s">
        <v>156</v>
      </c>
      <c r="C322" s="313">
        <f t="shared" si="107"/>
        <v>30770.03</v>
      </c>
      <c r="D322" s="33">
        <v>0</v>
      </c>
      <c r="E322" s="33">
        <v>0</v>
      </c>
      <c r="F322" s="33">
        <v>0</v>
      </c>
      <c r="G322" s="33">
        <v>0</v>
      </c>
      <c r="H322" s="33">
        <v>0</v>
      </c>
      <c r="I322" s="33">
        <v>0</v>
      </c>
      <c r="J322" s="33">
        <v>0</v>
      </c>
      <c r="K322" s="33">
        <v>0</v>
      </c>
      <c r="L322" s="33">
        <v>0</v>
      </c>
      <c r="M322" s="33">
        <v>12537.47</v>
      </c>
      <c r="N322" s="33">
        <v>7716.4</v>
      </c>
      <c r="O322" s="33">
        <v>10516.16</v>
      </c>
    </row>
    <row r="323" spans="1:15" x14ac:dyDescent="0.25">
      <c r="A323" s="53">
        <v>267</v>
      </c>
      <c r="B323" s="251" t="s">
        <v>157</v>
      </c>
      <c r="C323" s="313">
        <f t="shared" si="107"/>
        <v>17089.439999999999</v>
      </c>
      <c r="D323" s="33">
        <v>0</v>
      </c>
      <c r="E323" s="33">
        <v>0</v>
      </c>
      <c r="F323" s="33">
        <v>0</v>
      </c>
      <c r="G323" s="33">
        <v>0</v>
      </c>
      <c r="H323" s="33">
        <v>0</v>
      </c>
      <c r="I323" s="33">
        <v>0</v>
      </c>
      <c r="J323" s="33">
        <v>0</v>
      </c>
      <c r="K323" s="33">
        <v>0</v>
      </c>
      <c r="L323" s="33">
        <v>0</v>
      </c>
      <c r="M323" s="33">
        <v>5696.48</v>
      </c>
      <c r="N323" s="33">
        <v>5696.48</v>
      </c>
      <c r="O323" s="33">
        <v>5696.48</v>
      </c>
    </row>
    <row r="324" spans="1:15" x14ac:dyDescent="0.25">
      <c r="A324" s="53">
        <v>268</v>
      </c>
      <c r="B324" s="251" t="s">
        <v>158</v>
      </c>
      <c r="C324" s="313">
        <f t="shared" si="107"/>
        <v>13140.570000000002</v>
      </c>
      <c r="D324" s="33">
        <v>0</v>
      </c>
      <c r="E324" s="33">
        <v>0</v>
      </c>
      <c r="F324" s="33">
        <v>0</v>
      </c>
      <c r="G324" s="33">
        <v>0</v>
      </c>
      <c r="H324" s="33">
        <v>0</v>
      </c>
      <c r="I324" s="33">
        <v>0</v>
      </c>
      <c r="J324" s="33">
        <v>0</v>
      </c>
      <c r="K324" s="33">
        <v>0</v>
      </c>
      <c r="L324" s="33">
        <v>0</v>
      </c>
      <c r="M324" s="33">
        <v>4589.04</v>
      </c>
      <c r="N324" s="33">
        <v>5109.75</v>
      </c>
      <c r="O324" s="33">
        <v>3441.78</v>
      </c>
    </row>
    <row r="325" spans="1:15" x14ac:dyDescent="0.25">
      <c r="A325" s="53">
        <v>269</v>
      </c>
      <c r="B325" s="251" t="s">
        <v>159</v>
      </c>
      <c r="C325" s="313">
        <f t="shared" si="107"/>
        <v>1232.6599999999999</v>
      </c>
      <c r="D325" s="33">
        <v>0</v>
      </c>
      <c r="E325" s="33">
        <v>0</v>
      </c>
      <c r="F325" s="33">
        <v>0</v>
      </c>
      <c r="G325" s="33">
        <v>0</v>
      </c>
      <c r="H325" s="33">
        <v>0</v>
      </c>
      <c r="I325" s="33">
        <v>0</v>
      </c>
      <c r="J325" s="33">
        <v>0</v>
      </c>
      <c r="K325" s="33">
        <v>0</v>
      </c>
      <c r="L325" s="33">
        <v>0</v>
      </c>
      <c r="M325" s="33">
        <v>444.65</v>
      </c>
      <c r="N325" s="33">
        <v>788.01</v>
      </c>
      <c r="O325" s="33">
        <v>0</v>
      </c>
    </row>
    <row r="326" spans="1:15" x14ac:dyDescent="0.25">
      <c r="A326" s="6">
        <v>270</v>
      </c>
      <c r="B326" s="27" t="s">
        <v>160</v>
      </c>
      <c r="C326" s="313">
        <f t="shared" si="107"/>
        <v>12522.88</v>
      </c>
      <c r="D326" s="33">
        <v>0</v>
      </c>
      <c r="E326" s="33">
        <v>0</v>
      </c>
      <c r="F326" s="33">
        <v>0</v>
      </c>
      <c r="G326" s="33">
        <v>0</v>
      </c>
      <c r="H326" s="33">
        <v>0</v>
      </c>
      <c r="I326" s="33">
        <v>0</v>
      </c>
      <c r="J326" s="33">
        <v>0</v>
      </c>
      <c r="K326" s="33">
        <v>0</v>
      </c>
      <c r="L326" s="33">
        <v>0</v>
      </c>
      <c r="M326" s="33">
        <v>3965.27</v>
      </c>
      <c r="N326" s="33">
        <v>4736.1899999999996</v>
      </c>
      <c r="O326" s="33">
        <v>3821.42</v>
      </c>
    </row>
    <row r="327" spans="1:15" x14ac:dyDescent="0.25">
      <c r="A327" s="53">
        <v>271</v>
      </c>
      <c r="B327" s="251" t="s">
        <v>161</v>
      </c>
      <c r="C327" s="313">
        <f t="shared" si="107"/>
        <v>8588.5499999999993</v>
      </c>
      <c r="D327" s="33">
        <v>0</v>
      </c>
      <c r="E327" s="33">
        <v>0</v>
      </c>
      <c r="F327" s="33">
        <v>0</v>
      </c>
      <c r="G327" s="33">
        <v>0</v>
      </c>
      <c r="H327" s="33">
        <v>0</v>
      </c>
      <c r="I327" s="33">
        <v>0</v>
      </c>
      <c r="J327" s="33">
        <v>0</v>
      </c>
      <c r="K327" s="33">
        <v>0</v>
      </c>
      <c r="L327" s="33">
        <v>0</v>
      </c>
      <c r="M327" s="33">
        <v>2973.96</v>
      </c>
      <c r="N327" s="33">
        <v>3166.69</v>
      </c>
      <c r="O327" s="33">
        <v>2447.9</v>
      </c>
    </row>
    <row r="328" spans="1:15" x14ac:dyDescent="0.25">
      <c r="A328" s="53">
        <v>272</v>
      </c>
      <c r="B328" s="251" t="s">
        <v>162</v>
      </c>
      <c r="C328" s="305">
        <f t="shared" si="107"/>
        <v>1417.67</v>
      </c>
      <c r="D328" s="33">
        <v>0</v>
      </c>
      <c r="E328" s="33">
        <v>0</v>
      </c>
      <c r="F328" s="33">
        <v>0</v>
      </c>
      <c r="G328" s="33">
        <v>0</v>
      </c>
      <c r="H328" s="33">
        <v>0</v>
      </c>
      <c r="I328" s="33">
        <v>0</v>
      </c>
      <c r="J328" s="33">
        <v>0</v>
      </c>
      <c r="K328" s="33">
        <v>0</v>
      </c>
      <c r="L328" s="33">
        <v>0</v>
      </c>
      <c r="M328" s="33">
        <v>420</v>
      </c>
      <c r="N328" s="33">
        <v>420</v>
      </c>
      <c r="O328" s="33">
        <v>577.66999999999996</v>
      </c>
    </row>
    <row r="329" spans="1:15" x14ac:dyDescent="0.25">
      <c r="A329" s="6">
        <v>280</v>
      </c>
      <c r="B329" s="27" t="s">
        <v>163</v>
      </c>
      <c r="C329" s="313">
        <f t="shared" si="107"/>
        <v>1099.95</v>
      </c>
      <c r="D329" s="33">
        <v>0</v>
      </c>
      <c r="E329" s="33">
        <v>0</v>
      </c>
      <c r="F329" s="33">
        <v>0</v>
      </c>
      <c r="G329" s="33">
        <v>0</v>
      </c>
      <c r="H329" s="33">
        <v>0</v>
      </c>
      <c r="I329" s="33">
        <v>0</v>
      </c>
      <c r="J329" s="33">
        <v>0</v>
      </c>
      <c r="K329" s="33">
        <v>0</v>
      </c>
      <c r="L329" s="33">
        <v>0</v>
      </c>
      <c r="M329" s="33">
        <v>1062.7</v>
      </c>
      <c r="N329" s="33">
        <f>1062.71-1900.18</f>
        <v>-837.47</v>
      </c>
      <c r="O329" s="33">
        <v>874.72</v>
      </c>
    </row>
    <row r="330" spans="1:15" x14ac:dyDescent="0.25">
      <c r="A330" s="6">
        <v>281</v>
      </c>
      <c r="B330" s="27" t="s">
        <v>164</v>
      </c>
      <c r="C330" s="313">
        <f t="shared" si="107"/>
        <v>328.33000000000004</v>
      </c>
      <c r="D330" s="33">
        <v>0</v>
      </c>
      <c r="E330" s="33">
        <v>0</v>
      </c>
      <c r="F330" s="33">
        <v>0</v>
      </c>
      <c r="G330" s="33">
        <v>0</v>
      </c>
      <c r="H330" s="33">
        <v>0</v>
      </c>
      <c r="I330" s="33">
        <v>0</v>
      </c>
      <c r="J330" s="33">
        <v>0</v>
      </c>
      <c r="K330" s="33">
        <v>0</v>
      </c>
      <c r="L330" s="33">
        <v>0</v>
      </c>
      <c r="M330" s="33">
        <v>317.22000000000003</v>
      </c>
      <c r="N330" s="33">
        <f>317.22-567.21</f>
        <v>-249.99</v>
      </c>
      <c r="O330" s="33">
        <v>261.10000000000002</v>
      </c>
    </row>
    <row r="331" spans="1:15" x14ac:dyDescent="0.25">
      <c r="A331" s="53">
        <v>282</v>
      </c>
      <c r="B331" s="251" t="s">
        <v>165</v>
      </c>
      <c r="C331" s="313">
        <f t="shared" si="107"/>
        <v>2301.7600000000002</v>
      </c>
      <c r="D331" s="33">
        <v>0</v>
      </c>
      <c r="E331" s="33">
        <v>0</v>
      </c>
      <c r="F331" s="33">
        <v>0</v>
      </c>
      <c r="G331" s="33">
        <v>0</v>
      </c>
      <c r="H331" s="33">
        <v>0</v>
      </c>
      <c r="I331" s="33">
        <v>0</v>
      </c>
      <c r="J331" s="33">
        <v>0</v>
      </c>
      <c r="K331" s="33">
        <v>0</v>
      </c>
      <c r="L331" s="33">
        <v>0</v>
      </c>
      <c r="M331" s="33">
        <v>797.03</v>
      </c>
      <c r="N331" s="33">
        <v>848.68</v>
      </c>
      <c r="O331" s="33">
        <v>656.05</v>
      </c>
    </row>
    <row r="332" spans="1:15" x14ac:dyDescent="0.25">
      <c r="A332" s="53">
        <v>283</v>
      </c>
      <c r="B332" s="251" t="s">
        <v>166</v>
      </c>
      <c r="C332" s="313">
        <f t="shared" si="107"/>
        <v>687.08</v>
      </c>
      <c r="D332" s="33">
        <v>0</v>
      </c>
      <c r="E332" s="33">
        <v>0</v>
      </c>
      <c r="F332" s="33">
        <v>0</v>
      </c>
      <c r="G332" s="33">
        <v>0</v>
      </c>
      <c r="H332" s="33">
        <v>0</v>
      </c>
      <c r="I332" s="33">
        <v>0</v>
      </c>
      <c r="J332" s="33">
        <v>0</v>
      </c>
      <c r="K332" s="33">
        <v>0</v>
      </c>
      <c r="L332" s="33">
        <v>0</v>
      </c>
      <c r="M332" s="33">
        <v>237.92</v>
      </c>
      <c r="N332" s="33">
        <v>253.33</v>
      </c>
      <c r="O332" s="33">
        <v>195.83</v>
      </c>
    </row>
    <row r="333" spans="1:15" x14ac:dyDescent="0.25">
      <c r="A333" s="53">
        <v>301</v>
      </c>
      <c r="B333" s="251" t="s">
        <v>167</v>
      </c>
      <c r="C333" s="316">
        <f t="shared" si="107"/>
        <v>1901.6399999999999</v>
      </c>
      <c r="D333" s="33">
        <v>0</v>
      </c>
      <c r="E333" s="33">
        <v>0</v>
      </c>
      <c r="F333" s="33">
        <v>0</v>
      </c>
      <c r="G333" s="33">
        <v>0</v>
      </c>
      <c r="H333" s="33">
        <v>0</v>
      </c>
      <c r="I333" s="33">
        <v>0</v>
      </c>
      <c r="J333" s="33">
        <v>0</v>
      </c>
      <c r="K333" s="33">
        <v>0</v>
      </c>
      <c r="L333" s="33">
        <v>0</v>
      </c>
      <c r="M333" s="33">
        <f>1728.77-777.95</f>
        <v>950.81999999999994</v>
      </c>
      <c r="N333" s="33">
        <f>1728.77-777.95</f>
        <v>950.81999999999994</v>
      </c>
      <c r="O333" s="33">
        <v>0</v>
      </c>
    </row>
    <row r="334" spans="1:15" x14ac:dyDescent="0.25">
      <c r="A334" s="53">
        <v>304</v>
      </c>
      <c r="B334" s="251" t="s">
        <v>150</v>
      </c>
      <c r="C334" s="313">
        <f t="shared" si="107"/>
        <v>0</v>
      </c>
      <c r="D334" s="33">
        <v>0</v>
      </c>
      <c r="E334" s="33">
        <v>0</v>
      </c>
      <c r="F334" s="33">
        <v>0</v>
      </c>
      <c r="G334" s="33">
        <v>0</v>
      </c>
      <c r="H334" s="33">
        <v>0</v>
      </c>
      <c r="I334" s="33">
        <v>0</v>
      </c>
      <c r="J334" s="33">
        <v>0</v>
      </c>
      <c r="K334" s="33">
        <v>0</v>
      </c>
      <c r="L334" s="33">
        <v>0</v>
      </c>
      <c r="M334" s="33">
        <v>0</v>
      </c>
      <c r="N334" s="33">
        <v>0</v>
      </c>
      <c r="O334" s="33">
        <v>0</v>
      </c>
    </row>
    <row r="335" spans="1:15" x14ac:dyDescent="0.25">
      <c r="A335" s="53">
        <v>377</v>
      </c>
      <c r="B335" s="251" t="s">
        <v>168</v>
      </c>
      <c r="C335" s="316">
        <f t="shared" si="107"/>
        <v>982.97</v>
      </c>
      <c r="D335" s="33">
        <v>0</v>
      </c>
      <c r="E335" s="33">
        <v>0</v>
      </c>
      <c r="F335" s="33">
        <v>0</v>
      </c>
      <c r="G335" s="33">
        <v>0</v>
      </c>
      <c r="H335" s="33">
        <v>0</v>
      </c>
      <c r="I335" s="33">
        <v>0</v>
      </c>
      <c r="J335" s="33">
        <v>0</v>
      </c>
      <c r="K335" s="33">
        <v>0</v>
      </c>
      <c r="L335" s="33">
        <v>0</v>
      </c>
      <c r="M335" s="33">
        <f>229.42-124.86</f>
        <v>104.55999999999999</v>
      </c>
      <c r="N335" s="33">
        <f>349.48-44.28</f>
        <v>305.20000000000005</v>
      </c>
      <c r="O335" s="33">
        <v>573.21</v>
      </c>
    </row>
    <row r="336" spans="1:15" x14ac:dyDescent="0.25">
      <c r="A336" s="6">
        <v>378</v>
      </c>
      <c r="B336" s="27" t="s">
        <v>169</v>
      </c>
      <c r="C336" s="316">
        <f t="shared" si="107"/>
        <v>1563.57</v>
      </c>
      <c r="D336" s="33">
        <v>0</v>
      </c>
      <c r="E336" s="33">
        <v>0</v>
      </c>
      <c r="F336" s="33">
        <v>0</v>
      </c>
      <c r="G336" s="33">
        <v>0</v>
      </c>
      <c r="H336" s="33">
        <v>0</v>
      </c>
      <c r="I336" s="33">
        <v>0</v>
      </c>
      <c r="J336" s="33">
        <v>0</v>
      </c>
      <c r="K336" s="33">
        <v>0</v>
      </c>
      <c r="L336" s="33">
        <v>0</v>
      </c>
      <c r="M336" s="33">
        <f>755.54-89.96</f>
        <v>665.57999999999993</v>
      </c>
      <c r="N336" s="33">
        <v>669.97</v>
      </c>
      <c r="O336" s="33">
        <v>228.02</v>
      </c>
    </row>
    <row r="337" spans="1:17" x14ac:dyDescent="0.25">
      <c r="A337" s="6">
        <v>381</v>
      </c>
      <c r="B337" s="27" t="s">
        <v>170</v>
      </c>
      <c r="C337" s="316">
        <f t="shared" si="107"/>
        <v>113.97</v>
      </c>
      <c r="D337" s="33">
        <v>0</v>
      </c>
      <c r="E337" s="33">
        <v>0</v>
      </c>
      <c r="F337" s="33">
        <v>0</v>
      </c>
      <c r="G337" s="33">
        <v>0</v>
      </c>
      <c r="H337" s="33">
        <v>0</v>
      </c>
      <c r="I337" s="33">
        <v>0</v>
      </c>
      <c r="J337" s="33">
        <v>0</v>
      </c>
      <c r="K337" s="33">
        <v>0</v>
      </c>
      <c r="L337" s="33">
        <v>0</v>
      </c>
      <c r="M337" s="33">
        <v>52.68</v>
      </c>
      <c r="N337" s="33">
        <v>0</v>
      </c>
      <c r="O337" s="33">
        <v>61.29</v>
      </c>
    </row>
    <row r="338" spans="1:17" ht="13.5" customHeight="1" x14ac:dyDescent="0.25">
      <c r="A338" s="6">
        <v>396</v>
      </c>
      <c r="B338" s="27" t="s">
        <v>171</v>
      </c>
      <c r="C338" s="313">
        <f t="shared" si="107"/>
        <v>1337.5500000000002</v>
      </c>
      <c r="D338" s="33">
        <v>0</v>
      </c>
      <c r="E338" s="33">
        <v>0</v>
      </c>
      <c r="F338" s="33">
        <v>0</v>
      </c>
      <c r="G338" s="33">
        <v>0</v>
      </c>
      <c r="H338" s="33">
        <v>0</v>
      </c>
      <c r="I338" s="33">
        <v>0</v>
      </c>
      <c r="J338" s="33">
        <v>0</v>
      </c>
      <c r="K338" s="33">
        <v>0</v>
      </c>
      <c r="L338" s="33">
        <v>0</v>
      </c>
      <c r="M338" s="33">
        <v>445.85</v>
      </c>
      <c r="N338" s="33">
        <v>445.85</v>
      </c>
      <c r="O338" s="33">
        <v>445.85</v>
      </c>
      <c r="Q338" s="25"/>
    </row>
    <row r="339" spans="1:17" x14ac:dyDescent="0.25">
      <c r="A339" s="6">
        <v>399</v>
      </c>
      <c r="B339" s="27" t="s">
        <v>172</v>
      </c>
      <c r="C339" s="316">
        <f t="shared" si="107"/>
        <v>15396.689999999999</v>
      </c>
      <c r="D339" s="33">
        <v>0</v>
      </c>
      <c r="E339" s="33">
        <v>0</v>
      </c>
      <c r="F339" s="33">
        <v>0</v>
      </c>
      <c r="G339" s="33">
        <v>0</v>
      </c>
      <c r="H339" s="33">
        <v>0</v>
      </c>
      <c r="I339" s="33">
        <v>0</v>
      </c>
      <c r="J339" s="33">
        <v>0</v>
      </c>
      <c r="K339" s="33">
        <v>0</v>
      </c>
      <c r="L339" s="33">
        <v>0</v>
      </c>
      <c r="M339" s="33">
        <v>5132.2299999999996</v>
      </c>
      <c r="N339" s="33">
        <v>5132.2299999999996</v>
      </c>
      <c r="O339" s="33">
        <v>5132.2299999999996</v>
      </c>
    </row>
    <row r="340" spans="1:17" x14ac:dyDescent="0.25">
      <c r="A340" s="6">
        <v>417</v>
      </c>
      <c r="B340" s="27" t="s">
        <v>173</v>
      </c>
      <c r="C340" s="313">
        <f t="shared" si="107"/>
        <v>85.89</v>
      </c>
      <c r="D340" s="33">
        <v>0</v>
      </c>
      <c r="E340" s="33">
        <v>0</v>
      </c>
      <c r="F340" s="33">
        <v>0</v>
      </c>
      <c r="G340" s="33">
        <v>0</v>
      </c>
      <c r="H340" s="33">
        <v>0</v>
      </c>
      <c r="I340" s="33">
        <v>0</v>
      </c>
      <c r="J340" s="33">
        <v>0</v>
      </c>
      <c r="K340" s="33">
        <v>0</v>
      </c>
      <c r="L340" s="33">
        <v>0</v>
      </c>
      <c r="M340" s="33">
        <v>29.74</v>
      </c>
      <c r="N340" s="33">
        <v>31.67</v>
      </c>
      <c r="O340" s="33">
        <v>24.48</v>
      </c>
      <c r="Q340" s="25"/>
    </row>
    <row r="341" spans="1:17" x14ac:dyDescent="0.25">
      <c r="A341" s="6">
        <v>418</v>
      </c>
      <c r="B341" s="27" t="s">
        <v>148</v>
      </c>
      <c r="C341" s="313">
        <f t="shared" si="107"/>
        <v>41.039999999999992</v>
      </c>
      <c r="D341" s="33">
        <v>0</v>
      </c>
      <c r="E341" s="33">
        <v>0</v>
      </c>
      <c r="F341" s="33">
        <v>0</v>
      </c>
      <c r="G341" s="33">
        <v>0</v>
      </c>
      <c r="H341" s="33">
        <v>0</v>
      </c>
      <c r="I341" s="33">
        <v>0</v>
      </c>
      <c r="J341" s="33">
        <v>0</v>
      </c>
      <c r="K341" s="33">
        <v>0</v>
      </c>
      <c r="L341" s="33">
        <v>0</v>
      </c>
      <c r="M341" s="33">
        <v>39.65</v>
      </c>
      <c r="N341" s="33">
        <f>39.65-70.9</f>
        <v>-31.250000000000007</v>
      </c>
      <c r="O341" s="33">
        <v>32.64</v>
      </c>
      <c r="Q341" s="25"/>
    </row>
    <row r="342" spans="1:17" x14ac:dyDescent="0.25">
      <c r="A342" s="6">
        <v>424</v>
      </c>
      <c r="B342" s="27" t="s">
        <v>174</v>
      </c>
      <c r="C342" s="316">
        <f t="shared" ref="C342" si="108">SUM(D342:O342)</f>
        <v>0</v>
      </c>
      <c r="D342" s="33">
        <v>0</v>
      </c>
      <c r="E342" s="33">
        <v>0</v>
      </c>
      <c r="F342" s="33">
        <v>0</v>
      </c>
      <c r="G342" s="33">
        <v>0</v>
      </c>
      <c r="H342" s="33">
        <v>0</v>
      </c>
      <c r="I342" s="33">
        <v>0</v>
      </c>
      <c r="J342" s="33">
        <v>0</v>
      </c>
      <c r="K342" s="33">
        <v>0</v>
      </c>
      <c r="L342" s="33">
        <v>0</v>
      </c>
      <c r="M342" s="33">
        <v>0</v>
      </c>
      <c r="N342" s="33">
        <v>0</v>
      </c>
      <c r="O342" s="33">
        <v>0</v>
      </c>
      <c r="Q342" s="25"/>
    </row>
    <row r="343" spans="1:17" x14ac:dyDescent="0.25">
      <c r="A343" s="6">
        <v>480</v>
      </c>
      <c r="B343" s="27" t="s">
        <v>175</v>
      </c>
      <c r="C343" s="316">
        <f t="shared" si="107"/>
        <v>0</v>
      </c>
      <c r="D343" s="33">
        <v>0</v>
      </c>
      <c r="E343" s="33">
        <v>0</v>
      </c>
      <c r="F343" s="33">
        <v>0</v>
      </c>
      <c r="G343" s="33">
        <v>0</v>
      </c>
      <c r="H343" s="33">
        <v>0</v>
      </c>
      <c r="I343" s="33">
        <v>0</v>
      </c>
      <c r="J343" s="33">
        <v>0</v>
      </c>
      <c r="K343" s="33">
        <v>0</v>
      </c>
      <c r="L343" s="33">
        <v>0</v>
      </c>
      <c r="M343" s="33">
        <v>0</v>
      </c>
      <c r="N343" s="33">
        <v>0</v>
      </c>
      <c r="O343" s="33">
        <v>0</v>
      </c>
      <c r="Q343" s="25"/>
    </row>
    <row r="344" spans="1:17" x14ac:dyDescent="0.25">
      <c r="A344" s="6">
        <v>585</v>
      </c>
      <c r="B344" s="27" t="s">
        <v>176</v>
      </c>
      <c r="C344" s="316">
        <f t="shared" si="107"/>
        <v>0</v>
      </c>
      <c r="D344" s="33">
        <v>0</v>
      </c>
      <c r="E344" s="33">
        <v>0</v>
      </c>
      <c r="F344" s="33">
        <v>0</v>
      </c>
      <c r="G344" s="33">
        <v>0</v>
      </c>
      <c r="H344" s="33">
        <v>0</v>
      </c>
      <c r="I344" s="33">
        <v>0</v>
      </c>
      <c r="J344" s="33">
        <v>0</v>
      </c>
      <c r="K344" s="33">
        <v>0</v>
      </c>
      <c r="L344" s="33">
        <v>0</v>
      </c>
      <c r="M344" s="33">
        <v>0</v>
      </c>
      <c r="N344" s="33">
        <v>0</v>
      </c>
      <c r="O344" s="33">
        <v>0</v>
      </c>
      <c r="Q344" s="25"/>
    </row>
    <row r="345" spans="1:17" x14ac:dyDescent="0.25">
      <c r="A345" s="6">
        <v>590</v>
      </c>
      <c r="B345" s="27" t="s">
        <v>177</v>
      </c>
      <c r="C345" s="316">
        <f t="shared" si="107"/>
        <v>5357.32</v>
      </c>
      <c r="D345" s="33">
        <v>0</v>
      </c>
      <c r="E345" s="33">
        <v>0</v>
      </c>
      <c r="F345" s="33">
        <v>0</v>
      </c>
      <c r="G345" s="33">
        <v>0</v>
      </c>
      <c r="H345" s="33">
        <v>0</v>
      </c>
      <c r="I345" s="33">
        <v>0</v>
      </c>
      <c r="J345" s="33">
        <v>0</v>
      </c>
      <c r="K345" s="33">
        <v>0</v>
      </c>
      <c r="L345" s="33">
        <v>0</v>
      </c>
      <c r="M345" s="33">
        <v>2275.89</v>
      </c>
      <c r="N345" s="33">
        <v>2275.89</v>
      </c>
      <c r="O345" s="33">
        <v>805.54</v>
      </c>
      <c r="Q345" s="25"/>
    </row>
    <row r="346" spans="1:17" x14ac:dyDescent="0.25">
      <c r="A346" s="6">
        <v>597</v>
      </c>
      <c r="B346" s="27" t="s">
        <v>178</v>
      </c>
      <c r="C346" s="316">
        <f t="shared" ref="C346" si="109">SUM(D346:O346)</f>
        <v>0</v>
      </c>
      <c r="D346" s="33">
        <v>0</v>
      </c>
      <c r="E346" s="33">
        <v>0</v>
      </c>
      <c r="F346" s="33">
        <v>0</v>
      </c>
      <c r="G346" s="33">
        <v>0</v>
      </c>
      <c r="H346" s="33">
        <v>0</v>
      </c>
      <c r="I346" s="33">
        <v>0</v>
      </c>
      <c r="J346" s="33">
        <v>0</v>
      </c>
      <c r="K346" s="33">
        <v>0</v>
      </c>
      <c r="L346" s="33">
        <v>0</v>
      </c>
      <c r="M346" s="33">
        <v>0</v>
      </c>
      <c r="N346" s="33">
        <v>0</v>
      </c>
      <c r="O346" s="33">
        <v>0</v>
      </c>
      <c r="Q346" s="25"/>
    </row>
    <row r="347" spans="1:17" x14ac:dyDescent="0.25">
      <c r="A347" s="6">
        <v>599</v>
      </c>
      <c r="B347" s="27" t="s">
        <v>179</v>
      </c>
      <c r="C347" s="316">
        <f t="shared" ref="C347" si="110">SUM(D347:O347)</f>
        <v>0</v>
      </c>
      <c r="D347" s="33">
        <v>0</v>
      </c>
      <c r="E347" s="33">
        <v>0</v>
      </c>
      <c r="F347" s="33">
        <v>0</v>
      </c>
      <c r="G347" s="33">
        <v>0</v>
      </c>
      <c r="H347" s="33">
        <v>0</v>
      </c>
      <c r="I347" s="33">
        <v>0</v>
      </c>
      <c r="J347" s="33">
        <v>0</v>
      </c>
      <c r="K347" s="33">
        <v>0</v>
      </c>
      <c r="L347" s="33">
        <v>0</v>
      </c>
      <c r="M347" s="33">
        <v>0</v>
      </c>
      <c r="N347" s="33">
        <v>0</v>
      </c>
      <c r="O347" s="33">
        <v>0</v>
      </c>
      <c r="P347" s="183"/>
      <c r="Q347" s="25"/>
    </row>
    <row r="348" spans="1:17" x14ac:dyDescent="0.25">
      <c r="A348" s="6">
        <v>605</v>
      </c>
      <c r="B348" s="27" t="s">
        <v>58</v>
      </c>
      <c r="C348" s="316">
        <f t="shared" ref="C348" si="111">SUM(D348:O348)</f>
        <v>0</v>
      </c>
      <c r="D348" s="33">
        <v>0</v>
      </c>
      <c r="E348" s="33">
        <v>0</v>
      </c>
      <c r="F348" s="33">
        <v>0</v>
      </c>
      <c r="G348" s="33">
        <v>0</v>
      </c>
      <c r="H348" s="33">
        <v>0</v>
      </c>
      <c r="I348" s="33">
        <v>0</v>
      </c>
      <c r="J348" s="33">
        <v>0</v>
      </c>
      <c r="K348" s="33">
        <v>0</v>
      </c>
      <c r="L348" s="33">
        <v>0</v>
      </c>
      <c r="M348" s="33">
        <v>0</v>
      </c>
      <c r="N348" s="33">
        <v>0</v>
      </c>
      <c r="O348" s="33">
        <v>0</v>
      </c>
      <c r="P348" s="183"/>
      <c r="Q348" s="25"/>
    </row>
    <row r="349" spans="1:17" x14ac:dyDescent="0.25">
      <c r="A349" s="6">
        <v>607</v>
      </c>
      <c r="B349" s="27" t="s">
        <v>180</v>
      </c>
      <c r="C349" s="316">
        <f t="shared" ref="C349" si="112">SUM(D349:O349)</f>
        <v>0</v>
      </c>
      <c r="D349" s="33">
        <v>0</v>
      </c>
      <c r="E349" s="33">
        <v>0</v>
      </c>
      <c r="F349" s="33">
        <v>0</v>
      </c>
      <c r="G349" s="33">
        <v>0</v>
      </c>
      <c r="H349" s="33">
        <v>0</v>
      </c>
      <c r="I349" s="33">
        <v>0</v>
      </c>
      <c r="J349" s="33">
        <v>0</v>
      </c>
      <c r="K349" s="33">
        <v>0</v>
      </c>
      <c r="L349" s="33">
        <v>0</v>
      </c>
      <c r="M349" s="33">
        <v>0</v>
      </c>
      <c r="N349" s="33">
        <v>0</v>
      </c>
      <c r="O349" s="33">
        <v>0</v>
      </c>
      <c r="P349" s="183"/>
      <c r="Q349" s="25"/>
    </row>
    <row r="350" spans="1:17" x14ac:dyDescent="0.25">
      <c r="A350" s="6">
        <v>609</v>
      </c>
      <c r="B350" s="27" t="s">
        <v>181</v>
      </c>
      <c r="C350" s="316">
        <f t="shared" ref="C350:C353" si="113">SUM(D350:O350)</f>
        <v>3777</v>
      </c>
      <c r="D350" s="33">
        <v>0</v>
      </c>
      <c r="E350" s="33">
        <v>0</v>
      </c>
      <c r="F350" s="33">
        <v>0</v>
      </c>
      <c r="G350" s="33">
        <v>0</v>
      </c>
      <c r="H350" s="33">
        <v>0</v>
      </c>
      <c r="I350" s="33">
        <v>0</v>
      </c>
      <c r="J350" s="33">
        <v>0</v>
      </c>
      <c r="K350" s="33">
        <v>0</v>
      </c>
      <c r="L350" s="33">
        <v>0</v>
      </c>
      <c r="M350" s="33">
        <v>1259</v>
      </c>
      <c r="N350" s="33">
        <v>1259</v>
      </c>
      <c r="O350" s="33">
        <v>1259</v>
      </c>
      <c r="Q350" s="25"/>
    </row>
    <row r="351" spans="1:17" x14ac:dyDescent="0.25">
      <c r="A351" s="6">
        <v>610</v>
      </c>
      <c r="B351" s="27" t="s">
        <v>182</v>
      </c>
      <c r="C351" s="313">
        <f t="shared" si="113"/>
        <v>7837.5</v>
      </c>
      <c r="D351" s="33">
        <v>0</v>
      </c>
      <c r="E351" s="33">
        <v>0</v>
      </c>
      <c r="F351" s="33">
        <v>0</v>
      </c>
      <c r="G351" s="33">
        <v>0</v>
      </c>
      <c r="H351" s="33">
        <v>0</v>
      </c>
      <c r="I351" s="33">
        <v>0</v>
      </c>
      <c r="J351" s="33">
        <v>0</v>
      </c>
      <c r="K351" s="33">
        <v>0</v>
      </c>
      <c r="L351" s="33">
        <v>0</v>
      </c>
      <c r="M351" s="33">
        <v>2612.5</v>
      </c>
      <c r="N351" s="33">
        <v>2612.5</v>
      </c>
      <c r="O351" s="33">
        <v>2612.5</v>
      </c>
      <c r="Q351" s="25"/>
    </row>
    <row r="352" spans="1:17" x14ac:dyDescent="0.25">
      <c r="A352" s="6">
        <v>611</v>
      </c>
      <c r="B352" s="27" t="s">
        <v>183</v>
      </c>
      <c r="C352" s="316">
        <f t="shared" ref="C352" si="114">SUM(D352:O352)</f>
        <v>0</v>
      </c>
      <c r="D352" s="33">
        <v>0</v>
      </c>
      <c r="E352" s="33">
        <v>0</v>
      </c>
      <c r="F352" s="33">
        <v>0</v>
      </c>
      <c r="G352" s="33">
        <v>0</v>
      </c>
      <c r="H352" s="33">
        <v>0</v>
      </c>
      <c r="I352" s="33">
        <v>0</v>
      </c>
      <c r="J352" s="33">
        <v>0</v>
      </c>
      <c r="K352" s="33">
        <v>0</v>
      </c>
      <c r="L352" s="33">
        <v>0</v>
      </c>
      <c r="M352" s="33">
        <v>0</v>
      </c>
      <c r="N352" s="33">
        <v>0</v>
      </c>
      <c r="O352" s="33">
        <v>0</v>
      </c>
      <c r="Q352" s="25"/>
    </row>
    <row r="353" spans="1:17" x14ac:dyDescent="0.25">
      <c r="A353" s="6">
        <v>612</v>
      </c>
      <c r="B353" s="27" t="s">
        <v>184</v>
      </c>
      <c r="C353" s="316">
        <f t="shared" si="113"/>
        <v>286.8</v>
      </c>
      <c r="D353" s="33">
        <v>0</v>
      </c>
      <c r="E353" s="33">
        <v>0</v>
      </c>
      <c r="F353" s="33">
        <v>0</v>
      </c>
      <c r="G353" s="33">
        <v>0</v>
      </c>
      <c r="H353" s="33">
        <v>0</v>
      </c>
      <c r="I353" s="33">
        <v>0</v>
      </c>
      <c r="J353" s="33">
        <v>0</v>
      </c>
      <c r="K353" s="33">
        <v>0</v>
      </c>
      <c r="L353" s="33">
        <v>0</v>
      </c>
      <c r="M353" s="33">
        <f>286.8</f>
        <v>286.8</v>
      </c>
      <c r="N353" s="33">
        <v>0</v>
      </c>
      <c r="O353" s="33">
        <v>0</v>
      </c>
      <c r="Q353" s="25"/>
    </row>
    <row r="354" spans="1:17" x14ac:dyDescent="0.25">
      <c r="A354" s="6">
        <v>613</v>
      </c>
      <c r="B354" s="27" t="s">
        <v>185</v>
      </c>
      <c r="C354" s="316">
        <f t="shared" ref="C354:C357" si="115">SUM(D354:O354)</f>
        <v>1209.29</v>
      </c>
      <c r="D354" s="33">
        <v>0</v>
      </c>
      <c r="E354" s="33">
        <v>0</v>
      </c>
      <c r="F354" s="33">
        <v>0</v>
      </c>
      <c r="G354" s="33">
        <v>0</v>
      </c>
      <c r="H354" s="33">
        <v>0</v>
      </c>
      <c r="I354" s="33">
        <v>0</v>
      </c>
      <c r="J354" s="33">
        <v>0</v>
      </c>
      <c r="K354" s="33">
        <v>0</v>
      </c>
      <c r="L354" s="33">
        <v>0</v>
      </c>
      <c r="M354" s="33">
        <f>737.63-628.76</f>
        <v>108.87</v>
      </c>
      <c r="N354" s="33">
        <v>737.63</v>
      </c>
      <c r="O354" s="33">
        <v>362.79</v>
      </c>
      <c r="Q354" s="25"/>
    </row>
    <row r="355" spans="1:17" x14ac:dyDescent="0.25">
      <c r="A355" s="6">
        <v>614</v>
      </c>
      <c r="B355" s="27" t="s">
        <v>186</v>
      </c>
      <c r="C355" s="316">
        <f t="shared" ref="C355:C356" si="116">SUM(D355:O355)</f>
        <v>374.18</v>
      </c>
      <c r="D355" s="33">
        <v>0</v>
      </c>
      <c r="E355" s="33">
        <v>0</v>
      </c>
      <c r="F355" s="33">
        <v>0</v>
      </c>
      <c r="G355" s="33">
        <v>0</v>
      </c>
      <c r="H355" s="33">
        <v>0</v>
      </c>
      <c r="I355" s="33">
        <v>0</v>
      </c>
      <c r="J355" s="33">
        <v>0</v>
      </c>
      <c r="K355" s="33">
        <v>0</v>
      </c>
      <c r="L355" s="33">
        <v>0</v>
      </c>
      <c r="M355" s="33">
        <f>124.36</f>
        <v>124.36</v>
      </c>
      <c r="N355" s="33">
        <f>149.81-24.81</f>
        <v>125</v>
      </c>
      <c r="O355" s="33">
        <v>124.82</v>
      </c>
      <c r="Q355" s="25"/>
    </row>
    <row r="356" spans="1:17" x14ac:dyDescent="0.25">
      <c r="A356" s="6">
        <v>615</v>
      </c>
      <c r="B356" s="27" t="s">
        <v>187</v>
      </c>
      <c r="C356" s="316">
        <f t="shared" si="116"/>
        <v>2326.1999999999998</v>
      </c>
      <c r="D356" s="33">
        <v>0</v>
      </c>
      <c r="E356" s="33">
        <v>0</v>
      </c>
      <c r="F356" s="33">
        <v>0</v>
      </c>
      <c r="G356" s="33">
        <v>0</v>
      </c>
      <c r="H356" s="33">
        <v>0</v>
      </c>
      <c r="I356" s="33">
        <v>0</v>
      </c>
      <c r="J356" s="33">
        <v>0</v>
      </c>
      <c r="K356" s="33">
        <v>0</v>
      </c>
      <c r="L356" s="33">
        <v>0</v>
      </c>
      <c r="M356" s="33">
        <f>1812.94-815.82</f>
        <v>997.12</v>
      </c>
      <c r="N356" s="33">
        <f>1286.34-578.85</f>
        <v>707.4899999999999</v>
      </c>
      <c r="O356" s="33">
        <v>621.59</v>
      </c>
      <c r="Q356" s="25"/>
    </row>
    <row r="357" spans="1:17" x14ac:dyDescent="0.25">
      <c r="A357" s="6">
        <v>622</v>
      </c>
      <c r="B357" s="27" t="s">
        <v>188</v>
      </c>
      <c r="C357" s="311">
        <f t="shared" si="115"/>
        <v>5846.39</v>
      </c>
      <c r="D357" s="33">
        <v>0</v>
      </c>
      <c r="E357" s="33">
        <v>0</v>
      </c>
      <c r="F357" s="33">
        <v>0</v>
      </c>
      <c r="G357" s="33">
        <v>0</v>
      </c>
      <c r="H357" s="33">
        <v>0</v>
      </c>
      <c r="I357" s="33">
        <v>0</v>
      </c>
      <c r="J357" s="33">
        <v>0</v>
      </c>
      <c r="K357" s="33">
        <v>0</v>
      </c>
      <c r="L357" s="33">
        <v>0</v>
      </c>
      <c r="M357" s="33">
        <v>2379.31</v>
      </c>
      <c r="N357" s="33">
        <v>1733.54</v>
      </c>
      <c r="O357" s="33">
        <v>1733.54</v>
      </c>
      <c r="Q357" s="25"/>
    </row>
    <row r="358" spans="1:17" x14ac:dyDescent="0.25">
      <c r="A358" s="6">
        <v>624</v>
      </c>
      <c r="B358" s="27" t="s">
        <v>189</v>
      </c>
      <c r="C358" s="316">
        <f t="shared" si="107"/>
        <v>4683.54</v>
      </c>
      <c r="D358" s="33">
        <v>0</v>
      </c>
      <c r="E358" s="33">
        <v>0</v>
      </c>
      <c r="F358" s="33">
        <v>0</v>
      </c>
      <c r="G358" s="33">
        <v>0</v>
      </c>
      <c r="H358" s="33">
        <v>0</v>
      </c>
      <c r="I358" s="33">
        <v>0</v>
      </c>
      <c r="J358" s="33">
        <v>0</v>
      </c>
      <c r="K358" s="33">
        <v>0</v>
      </c>
      <c r="L358" s="33">
        <v>0</v>
      </c>
      <c r="M358" s="33">
        <f>1592.4-31.22</f>
        <v>1561.18</v>
      </c>
      <c r="N358" s="33">
        <v>1561.18</v>
      </c>
      <c r="O358" s="33">
        <v>1561.18</v>
      </c>
      <c r="Q358" s="25"/>
    </row>
    <row r="359" spans="1:17" x14ac:dyDescent="0.25">
      <c r="A359" s="6">
        <v>672</v>
      </c>
      <c r="B359" s="27" t="s">
        <v>273</v>
      </c>
      <c r="C359" s="311">
        <f t="shared" ref="C359" si="117">SUM(D359:O359)</f>
        <v>27446.2</v>
      </c>
      <c r="D359" s="33">
        <v>0</v>
      </c>
      <c r="E359" s="33">
        <v>0</v>
      </c>
      <c r="F359" s="33">
        <v>0</v>
      </c>
      <c r="G359" s="33">
        <v>0</v>
      </c>
      <c r="H359" s="33">
        <v>0</v>
      </c>
      <c r="I359" s="33">
        <v>0</v>
      </c>
      <c r="J359" s="33">
        <v>0</v>
      </c>
      <c r="K359" s="33">
        <v>0</v>
      </c>
      <c r="L359" s="33">
        <v>0</v>
      </c>
      <c r="M359" s="33">
        <v>5489.24</v>
      </c>
      <c r="N359" s="33">
        <v>10978.48</v>
      </c>
      <c r="O359" s="33">
        <v>10978.48</v>
      </c>
      <c r="Q359" s="25"/>
    </row>
    <row r="360" spans="1:17" x14ac:dyDescent="0.25">
      <c r="A360" s="6">
        <v>682</v>
      </c>
      <c r="B360" s="27" t="s">
        <v>441</v>
      </c>
      <c r="C360" s="311">
        <f t="shared" ref="C360:C362" si="118">SUM(D360:O360)</f>
        <v>0</v>
      </c>
      <c r="D360" s="33">
        <v>0</v>
      </c>
      <c r="E360" s="33">
        <v>0</v>
      </c>
      <c r="F360" s="33">
        <v>0</v>
      </c>
      <c r="G360" s="33">
        <v>0</v>
      </c>
      <c r="H360" s="33">
        <v>0</v>
      </c>
      <c r="I360" s="33">
        <v>0</v>
      </c>
      <c r="J360" s="33">
        <v>0</v>
      </c>
      <c r="K360" s="33">
        <v>0</v>
      </c>
      <c r="L360" s="33">
        <v>0</v>
      </c>
      <c r="M360" s="33">
        <v>0</v>
      </c>
      <c r="N360" s="33">
        <v>0</v>
      </c>
      <c r="O360" s="33">
        <v>0</v>
      </c>
      <c r="Q360" s="25"/>
    </row>
    <row r="361" spans="1:17" x14ac:dyDescent="0.25">
      <c r="A361" s="6">
        <v>722</v>
      </c>
      <c r="B361" s="27" t="s">
        <v>439</v>
      </c>
      <c r="C361" s="311">
        <f t="shared" si="118"/>
        <v>16050</v>
      </c>
      <c r="D361" s="33">
        <v>0</v>
      </c>
      <c r="E361" s="33">
        <v>0</v>
      </c>
      <c r="F361" s="33">
        <v>0</v>
      </c>
      <c r="G361" s="33">
        <v>0</v>
      </c>
      <c r="H361" s="33">
        <v>0</v>
      </c>
      <c r="I361" s="33">
        <v>0</v>
      </c>
      <c r="J361" s="33">
        <v>0</v>
      </c>
      <c r="K361" s="33">
        <v>0</v>
      </c>
      <c r="L361" s="33">
        <v>0</v>
      </c>
      <c r="M361" s="33">
        <v>5350</v>
      </c>
      <c r="N361" s="33">
        <v>5350</v>
      </c>
      <c r="O361" s="33">
        <v>5350</v>
      </c>
      <c r="Q361" s="25"/>
    </row>
    <row r="362" spans="1:17" x14ac:dyDescent="0.25">
      <c r="A362" s="6">
        <v>723</v>
      </c>
      <c r="B362" s="27" t="s">
        <v>525</v>
      </c>
      <c r="C362" s="316">
        <f t="shared" si="118"/>
        <v>170.41000000000003</v>
      </c>
      <c r="D362" s="33">
        <v>0</v>
      </c>
      <c r="E362" s="33">
        <v>0</v>
      </c>
      <c r="F362" s="33">
        <v>0</v>
      </c>
      <c r="G362" s="33">
        <v>0</v>
      </c>
      <c r="H362" s="33">
        <v>0</v>
      </c>
      <c r="I362" s="33">
        <v>0</v>
      </c>
      <c r="J362" s="33">
        <v>0</v>
      </c>
      <c r="K362" s="33">
        <v>0</v>
      </c>
      <c r="L362" s="33">
        <v>0</v>
      </c>
      <c r="M362" s="33">
        <f>153.96-69.28</f>
        <v>84.68</v>
      </c>
      <c r="N362" s="33">
        <f>155.87-70.14</f>
        <v>85.73</v>
      </c>
      <c r="O362" s="33">
        <v>0</v>
      </c>
      <c r="Q362" s="25"/>
    </row>
    <row r="363" spans="1:17" ht="13.8" thickBot="1" x14ac:dyDescent="0.3">
      <c r="A363" s="6">
        <v>731</v>
      </c>
      <c r="B363" s="27" t="s">
        <v>208</v>
      </c>
      <c r="C363" s="316">
        <f>SUM(D363:O363)</f>
        <v>1513.3799999999999</v>
      </c>
      <c r="D363" s="34">
        <v>0</v>
      </c>
      <c r="E363" s="34">
        <v>0</v>
      </c>
      <c r="F363" s="34">
        <v>0</v>
      </c>
      <c r="G363" s="34">
        <v>0</v>
      </c>
      <c r="H363" s="34">
        <v>0</v>
      </c>
      <c r="I363" s="34">
        <v>0</v>
      </c>
      <c r="J363" s="34">
        <v>0</v>
      </c>
      <c r="K363" s="34">
        <v>0</v>
      </c>
      <c r="L363" s="34">
        <v>0</v>
      </c>
      <c r="M363" s="34">
        <v>504.46</v>
      </c>
      <c r="N363" s="34">
        <v>504.46</v>
      </c>
      <c r="O363" s="34">
        <v>504.46</v>
      </c>
      <c r="Q363" s="25"/>
    </row>
    <row r="364" spans="1:17" ht="13.8" thickBot="1" x14ac:dyDescent="0.3">
      <c r="A364" s="2"/>
      <c r="B364" s="90" t="s">
        <v>190</v>
      </c>
      <c r="C364" s="3">
        <f t="shared" si="107"/>
        <v>3489.61</v>
      </c>
      <c r="D364" s="268">
        <f>SUM(D365:D366)</f>
        <v>0</v>
      </c>
      <c r="E364" s="37">
        <f>SUM(E365:E367)</f>
        <v>0</v>
      </c>
      <c r="F364" s="37">
        <f>SUM(F365:F366)</f>
        <v>0</v>
      </c>
      <c r="G364" s="37">
        <f>SUM(G365:G366)</f>
        <v>0</v>
      </c>
      <c r="H364" s="37">
        <f>SUM(H365:H366)</f>
        <v>0</v>
      </c>
      <c r="I364" s="266">
        <f>SUM(I365:I366)</f>
        <v>0</v>
      </c>
      <c r="J364" s="266">
        <f>SUM(J365:J366)</f>
        <v>0</v>
      </c>
      <c r="K364" s="37">
        <f>SUM(K365:K367)</f>
        <v>0</v>
      </c>
      <c r="L364" s="37">
        <f>SUM(L365:L367)</f>
        <v>0</v>
      </c>
      <c r="M364" s="37">
        <f>SUM(M365:M367)</f>
        <v>2979.46</v>
      </c>
      <c r="N364" s="37">
        <f>SUM(N365:N367)</f>
        <v>510.15</v>
      </c>
      <c r="O364" s="37">
        <f t="shared" ref="O364" si="119">SUM(O365:O365)</f>
        <v>0</v>
      </c>
    </row>
    <row r="365" spans="1:17" x14ac:dyDescent="0.25">
      <c r="A365" s="6">
        <v>211</v>
      </c>
      <c r="B365" s="74" t="s">
        <v>191</v>
      </c>
      <c r="C365" s="307">
        <f t="shared" si="107"/>
        <v>510.15</v>
      </c>
      <c r="D365" s="237">
        <v>0</v>
      </c>
      <c r="E365" s="237">
        <v>0</v>
      </c>
      <c r="F365" s="237">
        <v>0</v>
      </c>
      <c r="G365" s="237">
        <v>0</v>
      </c>
      <c r="H365" s="237">
        <v>0</v>
      </c>
      <c r="I365" s="237">
        <v>0</v>
      </c>
      <c r="J365" s="237">
        <v>0</v>
      </c>
      <c r="K365" s="237">
        <v>0</v>
      </c>
      <c r="L365" s="237">
        <v>0</v>
      </c>
      <c r="M365" s="237">
        <v>0</v>
      </c>
      <c r="N365" s="237">
        <v>510.15</v>
      </c>
      <c r="O365" s="237">
        <v>0</v>
      </c>
    </row>
    <row r="366" spans="1:17" x14ac:dyDescent="0.25">
      <c r="A366" s="6">
        <v>235</v>
      </c>
      <c r="B366" s="74" t="s">
        <v>468</v>
      </c>
      <c r="C366" s="307">
        <f t="shared" si="107"/>
        <v>2979.46</v>
      </c>
      <c r="D366" s="238">
        <v>0</v>
      </c>
      <c r="E366" s="238">
        <v>0</v>
      </c>
      <c r="F366" s="238">
        <v>0</v>
      </c>
      <c r="G366" s="238">
        <v>0</v>
      </c>
      <c r="H366" s="238">
        <v>0</v>
      </c>
      <c r="I366" s="238">
        <v>0</v>
      </c>
      <c r="J366" s="238">
        <v>0</v>
      </c>
      <c r="K366" s="238">
        <v>0</v>
      </c>
      <c r="L366" s="238">
        <v>0</v>
      </c>
      <c r="M366" s="238">
        <v>2979.46</v>
      </c>
      <c r="N366" s="238">
        <v>0</v>
      </c>
      <c r="O366" s="238">
        <v>0</v>
      </c>
    </row>
    <row r="367" spans="1:17" ht="13.8" thickBot="1" x14ac:dyDescent="0.3">
      <c r="A367" s="31"/>
      <c r="B367" s="74"/>
      <c r="C367" s="24"/>
      <c r="D367" s="223"/>
      <c r="E367" s="223"/>
      <c r="F367" s="223"/>
      <c r="G367" s="223"/>
      <c r="H367" s="223"/>
      <c r="I367" s="223"/>
      <c r="J367" s="223"/>
      <c r="K367" s="223"/>
      <c r="L367" s="223"/>
      <c r="M367" s="223"/>
      <c r="N367" s="223"/>
      <c r="O367" s="223"/>
    </row>
    <row r="368" spans="1:17" ht="13.8" thickBot="1" x14ac:dyDescent="0.3">
      <c r="A368" s="2"/>
      <c r="B368" s="90" t="s">
        <v>192</v>
      </c>
      <c r="C368" s="18">
        <f>SUM(D368:O368)</f>
        <v>718498.90000000014</v>
      </c>
      <c r="D368" s="37">
        <f>SUM(D369:D395)</f>
        <v>0</v>
      </c>
      <c r="E368" s="37">
        <f>SUM(E369:E395)</f>
        <v>0</v>
      </c>
      <c r="F368" s="37">
        <f>SUM(F369:F395)</f>
        <v>0</v>
      </c>
      <c r="G368" s="37">
        <f>SUM(G369:G395)</f>
        <v>0</v>
      </c>
      <c r="H368" s="37">
        <f>SUM(H369:H395)</f>
        <v>0</v>
      </c>
      <c r="I368" s="37">
        <f t="shared" ref="I368:L368" si="120">SUM(I369:I395)</f>
        <v>0</v>
      </c>
      <c r="J368" s="37">
        <f t="shared" si="120"/>
        <v>0</v>
      </c>
      <c r="K368" s="37">
        <f t="shared" si="120"/>
        <v>0</v>
      </c>
      <c r="L368" s="37">
        <f t="shared" si="120"/>
        <v>0</v>
      </c>
      <c r="M368" s="37">
        <f>SUM(M369:M395)</f>
        <v>226810.47000000003</v>
      </c>
      <c r="N368" s="37">
        <f>SUM(N369:N395)</f>
        <v>230180.94000000006</v>
      </c>
      <c r="O368" s="37">
        <f t="shared" ref="O368" si="121">SUM(O369:O395)</f>
        <v>261507.49000000002</v>
      </c>
    </row>
    <row r="369" spans="1:15" x14ac:dyDescent="0.25">
      <c r="A369" s="6">
        <v>213</v>
      </c>
      <c r="B369" s="74" t="s">
        <v>193</v>
      </c>
      <c r="C369" s="308">
        <f t="shared" ref="C369:C370" si="122">SUM(D369:O369)</f>
        <v>0</v>
      </c>
      <c r="D369" s="222">
        <v>0</v>
      </c>
      <c r="E369" s="222">
        <v>0</v>
      </c>
      <c r="F369" s="222">
        <v>0</v>
      </c>
      <c r="G369" s="222">
        <v>0</v>
      </c>
      <c r="H369" s="222">
        <v>0</v>
      </c>
      <c r="I369" s="222">
        <v>0</v>
      </c>
      <c r="J369" s="222">
        <v>0</v>
      </c>
      <c r="K369" s="222">
        <v>0</v>
      </c>
      <c r="L369" s="222">
        <v>0</v>
      </c>
      <c r="M369" s="222">
        <v>0</v>
      </c>
      <c r="N369" s="222">
        <v>0</v>
      </c>
      <c r="O369" s="222">
        <v>0</v>
      </c>
    </row>
    <row r="370" spans="1:15" x14ac:dyDescent="0.25">
      <c r="A370" s="6">
        <v>240</v>
      </c>
      <c r="B370" s="74" t="s">
        <v>436</v>
      </c>
      <c r="C370" s="308">
        <f t="shared" si="122"/>
        <v>368581.45</v>
      </c>
      <c r="D370" s="239">
        <v>0</v>
      </c>
      <c r="E370" s="239">
        <v>0</v>
      </c>
      <c r="F370" s="239">
        <v>0</v>
      </c>
      <c r="G370" s="239">
        <v>0</v>
      </c>
      <c r="H370" s="239">
        <v>0</v>
      </c>
      <c r="I370" s="239">
        <v>0</v>
      </c>
      <c r="J370" s="239">
        <v>0</v>
      </c>
      <c r="K370" s="239">
        <v>0</v>
      </c>
      <c r="L370" s="239">
        <v>0</v>
      </c>
      <c r="M370" s="239">
        <v>119553.21</v>
      </c>
      <c r="N370" s="239">
        <v>116288.52</v>
      </c>
      <c r="O370" s="239">
        <v>132739.72</v>
      </c>
    </row>
    <row r="371" spans="1:15" x14ac:dyDescent="0.25">
      <c r="A371" s="6">
        <v>246</v>
      </c>
      <c r="B371" s="74" t="s">
        <v>194</v>
      </c>
      <c r="C371" s="308">
        <f t="shared" ref="C371:C395" si="123">SUM(D371:O371)</f>
        <v>85812.65</v>
      </c>
      <c r="D371" s="239">
        <v>0</v>
      </c>
      <c r="E371" s="239">
        <v>0</v>
      </c>
      <c r="F371" s="239">
        <v>0</v>
      </c>
      <c r="G371" s="239">
        <v>0</v>
      </c>
      <c r="H371" s="239">
        <v>0</v>
      </c>
      <c r="I371" s="239">
        <v>0</v>
      </c>
      <c r="J371" s="239">
        <v>0</v>
      </c>
      <c r="K371" s="239">
        <v>0</v>
      </c>
      <c r="L371" s="239">
        <v>0</v>
      </c>
      <c r="M371" s="239">
        <f>27638.27-1043.19</f>
        <v>26595.08</v>
      </c>
      <c r="N371" s="239">
        <f>27311.19-0.04</f>
        <v>27311.149999999998</v>
      </c>
      <c r="O371" s="239">
        <v>31906.42</v>
      </c>
    </row>
    <row r="372" spans="1:15" x14ac:dyDescent="0.25">
      <c r="A372" s="6">
        <v>395</v>
      </c>
      <c r="B372" s="74" t="s">
        <v>195</v>
      </c>
      <c r="C372" s="308">
        <f t="shared" ref="C372" si="124">SUM(D372:O372)</f>
        <v>0</v>
      </c>
      <c r="D372" s="239">
        <v>0</v>
      </c>
      <c r="E372" s="239">
        <v>0</v>
      </c>
      <c r="F372" s="239">
        <v>0</v>
      </c>
      <c r="G372" s="239">
        <v>0</v>
      </c>
      <c r="H372" s="239">
        <v>0</v>
      </c>
      <c r="I372" s="239">
        <v>0</v>
      </c>
      <c r="J372" s="239">
        <v>0</v>
      </c>
      <c r="K372" s="239">
        <v>0</v>
      </c>
      <c r="L372" s="239">
        <v>0</v>
      </c>
      <c r="M372" s="239">
        <v>0</v>
      </c>
      <c r="N372" s="239">
        <v>0</v>
      </c>
      <c r="O372" s="239">
        <v>0</v>
      </c>
    </row>
    <row r="373" spans="1:15" x14ac:dyDescent="0.25">
      <c r="A373" s="6">
        <v>425</v>
      </c>
      <c r="B373" s="74" t="s">
        <v>196</v>
      </c>
      <c r="C373" s="308">
        <f t="shared" ref="C373" si="125">SUM(D373:O373)</f>
        <v>0</v>
      </c>
      <c r="D373" s="239">
        <v>0</v>
      </c>
      <c r="E373" s="239">
        <v>0</v>
      </c>
      <c r="F373" s="239">
        <v>0</v>
      </c>
      <c r="G373" s="239">
        <v>0</v>
      </c>
      <c r="H373" s="239">
        <v>0</v>
      </c>
      <c r="I373" s="239">
        <v>0</v>
      </c>
      <c r="J373" s="239">
        <v>0</v>
      </c>
      <c r="K373" s="239">
        <v>0</v>
      </c>
      <c r="L373" s="239">
        <v>0</v>
      </c>
      <c r="M373" s="239">
        <v>0</v>
      </c>
      <c r="N373" s="239">
        <v>0</v>
      </c>
      <c r="O373" s="239">
        <v>0</v>
      </c>
    </row>
    <row r="374" spans="1:15" x14ac:dyDescent="0.25">
      <c r="A374" s="6">
        <v>457</v>
      </c>
      <c r="B374" s="74" t="s">
        <v>197</v>
      </c>
      <c r="C374" s="318">
        <f t="shared" si="123"/>
        <v>136828.43</v>
      </c>
      <c r="D374" s="239">
        <v>0</v>
      </c>
      <c r="E374" s="239">
        <v>0</v>
      </c>
      <c r="F374" s="239">
        <v>0</v>
      </c>
      <c r="G374" s="239">
        <v>0</v>
      </c>
      <c r="H374" s="239">
        <v>0</v>
      </c>
      <c r="I374" s="239">
        <v>0</v>
      </c>
      <c r="J374" s="239">
        <v>0</v>
      </c>
      <c r="K374" s="239">
        <v>0</v>
      </c>
      <c r="L374" s="239">
        <v>0</v>
      </c>
      <c r="M374" s="239">
        <v>40612.21</v>
      </c>
      <c r="N374" s="239">
        <v>48108.11</v>
      </c>
      <c r="O374" s="239">
        <v>48108.11</v>
      </c>
    </row>
    <row r="375" spans="1:15" x14ac:dyDescent="0.25">
      <c r="A375" s="6">
        <v>458</v>
      </c>
      <c r="B375" s="74" t="s">
        <v>198</v>
      </c>
      <c r="C375" s="318">
        <f t="shared" si="123"/>
        <v>48984.53</v>
      </c>
      <c r="D375" s="239">
        <v>0</v>
      </c>
      <c r="E375" s="239">
        <v>0</v>
      </c>
      <c r="F375" s="239">
        <v>0</v>
      </c>
      <c r="G375" s="239">
        <v>0</v>
      </c>
      <c r="H375" s="239">
        <v>0</v>
      </c>
      <c r="I375" s="239">
        <v>0</v>
      </c>
      <c r="J375" s="239">
        <v>0</v>
      </c>
      <c r="K375" s="239">
        <v>0</v>
      </c>
      <c r="L375" s="239">
        <v>0</v>
      </c>
      <c r="M375" s="239">
        <v>14539.17</v>
      </c>
      <c r="N375" s="239">
        <v>17222.669999999998</v>
      </c>
      <c r="O375" s="239">
        <v>17222.689999999999</v>
      </c>
    </row>
    <row r="376" spans="1:15" x14ac:dyDescent="0.25">
      <c r="A376" s="6">
        <v>459</v>
      </c>
      <c r="B376" s="74" t="s">
        <v>138</v>
      </c>
      <c r="C376" s="318">
        <f t="shared" si="123"/>
        <v>12917.34</v>
      </c>
      <c r="D376" s="239">
        <v>0</v>
      </c>
      <c r="E376" s="239">
        <v>0</v>
      </c>
      <c r="F376" s="239">
        <v>0</v>
      </c>
      <c r="G376" s="239">
        <v>0</v>
      </c>
      <c r="H376" s="239">
        <v>0</v>
      </c>
      <c r="I376" s="239">
        <v>0</v>
      </c>
      <c r="J376" s="239">
        <v>0</v>
      </c>
      <c r="K376" s="239">
        <v>0</v>
      </c>
      <c r="L376" s="239">
        <v>0</v>
      </c>
      <c r="M376" s="239">
        <f>4716.31-976.18</f>
        <v>3740.1300000000006</v>
      </c>
      <c r="N376" s="239">
        <v>3676.28</v>
      </c>
      <c r="O376" s="239">
        <v>5500.93</v>
      </c>
    </row>
    <row r="377" spans="1:15" x14ac:dyDescent="0.25">
      <c r="A377" s="6">
        <v>460</v>
      </c>
      <c r="B377" s="74" t="s">
        <v>199</v>
      </c>
      <c r="C377" s="318">
        <f t="shared" si="123"/>
        <v>13432.96</v>
      </c>
      <c r="D377" s="239">
        <v>0</v>
      </c>
      <c r="E377" s="239">
        <v>0</v>
      </c>
      <c r="F377" s="239">
        <v>0</v>
      </c>
      <c r="G377" s="239">
        <v>0</v>
      </c>
      <c r="H377" s="239">
        <v>0</v>
      </c>
      <c r="I377" s="239">
        <v>0</v>
      </c>
      <c r="J377" s="239">
        <v>0</v>
      </c>
      <c r="K377" s="239">
        <v>0</v>
      </c>
      <c r="L377" s="239">
        <v>0</v>
      </c>
      <c r="M377" s="239">
        <v>4589.04</v>
      </c>
      <c r="N377" s="239">
        <v>4254.88</v>
      </c>
      <c r="O377" s="239">
        <v>4589.04</v>
      </c>
    </row>
    <row r="378" spans="1:15" x14ac:dyDescent="0.25">
      <c r="A378" s="6">
        <v>461</v>
      </c>
      <c r="B378" s="74" t="s">
        <v>200</v>
      </c>
      <c r="C378" s="318">
        <f t="shared" si="123"/>
        <v>996.30000000000007</v>
      </c>
      <c r="D378" s="239">
        <v>0</v>
      </c>
      <c r="E378" s="239">
        <v>0</v>
      </c>
      <c r="F378" s="239">
        <v>0</v>
      </c>
      <c r="G378" s="239">
        <v>0</v>
      </c>
      <c r="H378" s="239">
        <v>0</v>
      </c>
      <c r="I378" s="239">
        <v>0</v>
      </c>
      <c r="J378" s="239">
        <v>0</v>
      </c>
      <c r="K378" s="239">
        <v>0</v>
      </c>
      <c r="L378" s="239">
        <v>0</v>
      </c>
      <c r="M378" s="239">
        <v>332.1</v>
      </c>
      <c r="N378" s="239">
        <v>664.2</v>
      </c>
      <c r="O378" s="239">
        <v>0</v>
      </c>
    </row>
    <row r="379" spans="1:15" x14ac:dyDescent="0.25">
      <c r="A379" s="6">
        <v>462</v>
      </c>
      <c r="B379" s="74" t="s">
        <v>141</v>
      </c>
      <c r="C379" s="318">
        <f t="shared" si="123"/>
        <v>16703.05</v>
      </c>
      <c r="D379" s="239">
        <v>0</v>
      </c>
      <c r="E379" s="239">
        <v>0</v>
      </c>
      <c r="F379" s="239">
        <v>0</v>
      </c>
      <c r="G379" s="239">
        <v>0</v>
      </c>
      <c r="H379" s="239">
        <v>0</v>
      </c>
      <c r="I379" s="239">
        <v>0</v>
      </c>
      <c r="J379" s="239">
        <v>0</v>
      </c>
      <c r="K379" s="239">
        <v>0</v>
      </c>
      <c r="L379" s="239">
        <v>0</v>
      </c>
      <c r="M379" s="239">
        <v>4512.47</v>
      </c>
      <c r="N379" s="239">
        <v>5345.35</v>
      </c>
      <c r="O379" s="239">
        <v>6845.23</v>
      </c>
    </row>
    <row r="380" spans="1:15" x14ac:dyDescent="0.25">
      <c r="A380" s="6">
        <v>463</v>
      </c>
      <c r="B380" s="74" t="s">
        <v>201</v>
      </c>
      <c r="C380" s="318">
        <f t="shared" si="123"/>
        <v>11402.37</v>
      </c>
      <c r="D380" s="239">
        <v>0</v>
      </c>
      <c r="E380" s="239">
        <v>0</v>
      </c>
      <c r="F380" s="239">
        <v>0</v>
      </c>
      <c r="G380" s="239">
        <v>0</v>
      </c>
      <c r="H380" s="239">
        <v>0</v>
      </c>
      <c r="I380" s="239">
        <v>0</v>
      </c>
      <c r="J380" s="239">
        <v>0</v>
      </c>
      <c r="K380" s="239">
        <v>0</v>
      </c>
      <c r="L380" s="239">
        <v>0</v>
      </c>
      <c r="M380" s="239">
        <v>3384.35</v>
      </c>
      <c r="N380" s="239">
        <v>4009.01</v>
      </c>
      <c r="O380" s="239">
        <v>4009.01</v>
      </c>
    </row>
    <row r="381" spans="1:15" x14ac:dyDescent="0.25">
      <c r="A381" s="6">
        <v>466</v>
      </c>
      <c r="B381" s="74" t="s">
        <v>202</v>
      </c>
      <c r="C381" s="318">
        <f t="shared" si="123"/>
        <v>84.809999999999718</v>
      </c>
      <c r="D381" s="239">
        <v>0</v>
      </c>
      <c r="E381" s="239">
        <v>0</v>
      </c>
      <c r="F381" s="239">
        <v>0</v>
      </c>
      <c r="G381" s="239">
        <v>0</v>
      </c>
      <c r="H381" s="239">
        <v>0</v>
      </c>
      <c r="I381" s="239">
        <v>0</v>
      </c>
      <c r="J381" s="239">
        <v>0</v>
      </c>
      <c r="K381" s="239">
        <v>0</v>
      </c>
      <c r="L381" s="239">
        <v>0</v>
      </c>
      <c r="M381" s="239">
        <v>1209.3399999999999</v>
      </c>
      <c r="N381" s="239">
        <f>1432.55-4391.6</f>
        <v>-2959.05</v>
      </c>
      <c r="O381" s="239">
        <v>1834.52</v>
      </c>
    </row>
    <row r="382" spans="1:15" x14ac:dyDescent="0.25">
      <c r="A382" s="6">
        <v>467</v>
      </c>
      <c r="B382" s="74" t="s">
        <v>203</v>
      </c>
      <c r="C382" s="318">
        <f t="shared" si="123"/>
        <v>25.319999999999936</v>
      </c>
      <c r="D382" s="239">
        <v>0</v>
      </c>
      <c r="E382" s="239">
        <v>0</v>
      </c>
      <c r="F382" s="239">
        <v>0</v>
      </c>
      <c r="G382" s="239">
        <v>0</v>
      </c>
      <c r="H382" s="239">
        <v>0</v>
      </c>
      <c r="I382" s="239">
        <v>0</v>
      </c>
      <c r="J382" s="239">
        <v>0</v>
      </c>
      <c r="K382" s="239">
        <v>0</v>
      </c>
      <c r="L382" s="239">
        <v>0</v>
      </c>
      <c r="M382" s="239">
        <v>361</v>
      </c>
      <c r="N382" s="239">
        <f>427.63-1310.93</f>
        <v>-883.30000000000007</v>
      </c>
      <c r="O382" s="239">
        <v>547.62</v>
      </c>
    </row>
    <row r="383" spans="1:15" x14ac:dyDescent="0.25">
      <c r="A383" s="6">
        <v>468</v>
      </c>
      <c r="B383" s="74" t="s">
        <v>204</v>
      </c>
      <c r="C383" s="318">
        <f t="shared" si="123"/>
        <v>3055.82</v>
      </c>
      <c r="D383" s="239">
        <v>0</v>
      </c>
      <c r="E383" s="239">
        <v>0</v>
      </c>
      <c r="F383" s="239">
        <v>0</v>
      </c>
      <c r="G383" s="239">
        <v>0</v>
      </c>
      <c r="H383" s="239">
        <v>0</v>
      </c>
      <c r="I383" s="239">
        <v>0</v>
      </c>
      <c r="J383" s="239">
        <v>0</v>
      </c>
      <c r="K383" s="239">
        <v>0</v>
      </c>
      <c r="L383" s="239">
        <v>0</v>
      </c>
      <c r="M383" s="239">
        <v>907</v>
      </c>
      <c r="N383" s="239">
        <v>1074.4100000000001</v>
      </c>
      <c r="O383" s="239">
        <v>1074.4100000000001</v>
      </c>
    </row>
    <row r="384" spans="1:15" x14ac:dyDescent="0.25">
      <c r="A384" s="6">
        <v>469</v>
      </c>
      <c r="B384" s="74" t="s">
        <v>205</v>
      </c>
      <c r="C384" s="318">
        <f t="shared" si="123"/>
        <v>912.22</v>
      </c>
      <c r="D384" s="239">
        <v>0</v>
      </c>
      <c r="E384" s="239">
        <v>0</v>
      </c>
      <c r="F384" s="239">
        <v>0</v>
      </c>
      <c r="G384" s="239">
        <v>0</v>
      </c>
      <c r="H384" s="239">
        <v>0</v>
      </c>
      <c r="I384" s="239">
        <v>0</v>
      </c>
      <c r="J384" s="239">
        <v>0</v>
      </c>
      <c r="K384" s="239">
        <v>0</v>
      </c>
      <c r="L384" s="239">
        <v>0</v>
      </c>
      <c r="M384" s="239">
        <v>270.76</v>
      </c>
      <c r="N384" s="239">
        <v>320.73</v>
      </c>
      <c r="O384" s="239">
        <v>320.73</v>
      </c>
    </row>
    <row r="385" spans="1:15" x14ac:dyDescent="0.25">
      <c r="A385" s="6">
        <v>470</v>
      </c>
      <c r="B385" s="74" t="s">
        <v>621</v>
      </c>
      <c r="C385" s="318">
        <f t="shared" si="123"/>
        <v>891.7</v>
      </c>
      <c r="D385" s="239">
        <v>0</v>
      </c>
      <c r="E385" s="239">
        <v>0</v>
      </c>
      <c r="F385" s="239">
        <v>0</v>
      </c>
      <c r="G385" s="239">
        <v>0</v>
      </c>
      <c r="H385" s="239">
        <v>0</v>
      </c>
      <c r="I385" s="239">
        <v>0</v>
      </c>
      <c r="J385" s="239">
        <v>0</v>
      </c>
      <c r="K385" s="239">
        <v>0</v>
      </c>
      <c r="L385" s="239">
        <v>0</v>
      </c>
      <c r="M385" s="239">
        <v>0</v>
      </c>
      <c r="N385" s="239">
        <v>445.85</v>
      </c>
      <c r="O385" s="239">
        <v>445.85</v>
      </c>
    </row>
    <row r="386" spans="1:15" x14ac:dyDescent="0.25">
      <c r="A386" s="6">
        <v>471</v>
      </c>
      <c r="B386" s="74" t="s">
        <v>206</v>
      </c>
      <c r="C386" s="318">
        <f t="shared" si="123"/>
        <v>114.02000000000001</v>
      </c>
      <c r="D386" s="239">
        <v>0</v>
      </c>
      <c r="E386" s="239">
        <v>0</v>
      </c>
      <c r="F386" s="239">
        <v>0</v>
      </c>
      <c r="G386" s="239">
        <v>0</v>
      </c>
      <c r="H386" s="239">
        <v>0</v>
      </c>
      <c r="I386" s="239">
        <v>0</v>
      </c>
      <c r="J386" s="239">
        <v>0</v>
      </c>
      <c r="K386" s="239">
        <v>0</v>
      </c>
      <c r="L386" s="239">
        <v>0</v>
      </c>
      <c r="M386" s="239">
        <v>33.840000000000003</v>
      </c>
      <c r="N386" s="239">
        <v>40.090000000000003</v>
      </c>
      <c r="O386" s="239">
        <v>40.090000000000003</v>
      </c>
    </row>
    <row r="387" spans="1:15" x14ac:dyDescent="0.25">
      <c r="A387" s="6">
        <v>472</v>
      </c>
      <c r="B387" s="74" t="s">
        <v>207</v>
      </c>
      <c r="C387" s="318">
        <f t="shared" ref="C387" si="126">SUM(D387:O387)</f>
        <v>3.1399999999999864</v>
      </c>
      <c r="D387" s="239">
        <v>0</v>
      </c>
      <c r="E387" s="239">
        <v>0</v>
      </c>
      <c r="F387" s="239">
        <v>0</v>
      </c>
      <c r="G387" s="239">
        <v>0</v>
      </c>
      <c r="H387" s="239">
        <v>0</v>
      </c>
      <c r="I387" s="239">
        <v>0</v>
      </c>
      <c r="J387" s="239">
        <v>0</v>
      </c>
      <c r="K387" s="239">
        <v>0</v>
      </c>
      <c r="L387" s="239">
        <v>0</v>
      </c>
      <c r="M387" s="239">
        <v>45.12</v>
      </c>
      <c r="N387" s="239">
        <f>53.45-163.87</f>
        <v>-110.42</v>
      </c>
      <c r="O387" s="239">
        <v>68.44</v>
      </c>
    </row>
    <row r="388" spans="1:15" x14ac:dyDescent="0.25">
      <c r="A388" s="6">
        <v>476</v>
      </c>
      <c r="B388" s="74" t="s">
        <v>149</v>
      </c>
      <c r="C388" s="318">
        <f t="shared" si="123"/>
        <v>16688.75</v>
      </c>
      <c r="D388" s="239">
        <v>0</v>
      </c>
      <c r="E388" s="239">
        <v>0</v>
      </c>
      <c r="F388" s="239">
        <v>0</v>
      </c>
      <c r="G388" s="239">
        <v>0</v>
      </c>
      <c r="H388" s="239">
        <v>0</v>
      </c>
      <c r="I388" s="239">
        <v>0</v>
      </c>
      <c r="J388" s="239">
        <v>0</v>
      </c>
      <c r="K388" s="239">
        <v>0</v>
      </c>
      <c r="L388" s="239">
        <v>0</v>
      </c>
      <c r="M388" s="239">
        <v>5770.97</v>
      </c>
      <c r="N388" s="239">
        <v>5017.78</v>
      </c>
      <c r="O388" s="239">
        <v>5900</v>
      </c>
    </row>
    <row r="389" spans="1:15" x14ac:dyDescent="0.25">
      <c r="A389" s="6">
        <v>481</v>
      </c>
      <c r="B389" s="74" t="s">
        <v>208</v>
      </c>
      <c r="C389" s="308">
        <f t="shared" si="123"/>
        <v>716.7</v>
      </c>
      <c r="D389" s="239">
        <v>0</v>
      </c>
      <c r="E389" s="239">
        <v>0</v>
      </c>
      <c r="F389" s="239">
        <v>0</v>
      </c>
      <c r="G389" s="239">
        <v>0</v>
      </c>
      <c r="H389" s="239">
        <v>0</v>
      </c>
      <c r="I389" s="239">
        <v>0</v>
      </c>
      <c r="J389" s="239">
        <v>0</v>
      </c>
      <c r="K389" s="239">
        <v>0</v>
      </c>
      <c r="L389" s="239">
        <v>0</v>
      </c>
      <c r="M389" s="239">
        <v>238.9</v>
      </c>
      <c r="N389" s="239">
        <v>238.9</v>
      </c>
      <c r="O389" s="239">
        <v>238.9</v>
      </c>
    </row>
    <row r="390" spans="1:15" x14ac:dyDescent="0.25">
      <c r="A390" s="6">
        <v>593</v>
      </c>
      <c r="B390" s="74" t="s">
        <v>209</v>
      </c>
      <c r="C390" s="308">
        <f t="shared" ref="C390" si="127">SUM(D390:O390)</f>
        <v>347.34000000000003</v>
      </c>
      <c r="D390" s="239">
        <v>0</v>
      </c>
      <c r="E390" s="239">
        <v>0</v>
      </c>
      <c r="F390" s="239">
        <v>0</v>
      </c>
      <c r="G390" s="239">
        <v>0</v>
      </c>
      <c r="H390" s="239">
        <v>0</v>
      </c>
      <c r="I390" s="239">
        <v>0</v>
      </c>
      <c r="J390" s="239">
        <v>0</v>
      </c>
      <c r="K390" s="239">
        <v>0</v>
      </c>
      <c r="L390" s="239">
        <v>0</v>
      </c>
      <c r="M390" s="239">
        <v>115.78</v>
      </c>
      <c r="N390" s="239">
        <v>115.78</v>
      </c>
      <c r="O390" s="239">
        <v>115.78</v>
      </c>
    </row>
    <row r="391" spans="1:15" hidden="1" x14ac:dyDescent="0.25">
      <c r="A391" s="6">
        <v>598</v>
      </c>
      <c r="B391" s="74" t="s">
        <v>210</v>
      </c>
      <c r="C391" s="24">
        <f t="shared" si="123"/>
        <v>0</v>
      </c>
      <c r="D391" s="239">
        <v>0</v>
      </c>
      <c r="E391" s="239">
        <v>0</v>
      </c>
      <c r="F391" s="239">
        <v>0</v>
      </c>
      <c r="G391" s="239">
        <v>0</v>
      </c>
      <c r="H391" s="239">
        <v>0</v>
      </c>
      <c r="I391" s="239">
        <v>0</v>
      </c>
      <c r="J391" s="239">
        <v>0</v>
      </c>
      <c r="K391" s="239">
        <v>0</v>
      </c>
      <c r="L391" s="239">
        <v>0</v>
      </c>
      <c r="M391" s="239">
        <v>0</v>
      </c>
      <c r="N391" s="239">
        <v>0</v>
      </c>
      <c r="O391" s="239">
        <v>0</v>
      </c>
    </row>
    <row r="392" spans="1:15" hidden="1" x14ac:dyDescent="0.25">
      <c r="A392" s="6">
        <v>680</v>
      </c>
      <c r="B392" s="74" t="s">
        <v>435</v>
      </c>
      <c r="C392" s="24">
        <f t="shared" si="123"/>
        <v>0</v>
      </c>
      <c r="D392" s="239">
        <v>0</v>
      </c>
      <c r="E392" s="239">
        <v>0</v>
      </c>
      <c r="F392" s="239">
        <v>0</v>
      </c>
      <c r="G392" s="239">
        <v>0</v>
      </c>
      <c r="H392" s="239">
        <v>0</v>
      </c>
      <c r="I392" s="239">
        <v>0</v>
      </c>
      <c r="J392" s="239">
        <v>0</v>
      </c>
      <c r="K392" s="239">
        <v>0</v>
      </c>
      <c r="L392" s="239">
        <v>0</v>
      </c>
      <c r="M392" s="239">
        <v>0</v>
      </c>
      <c r="N392" s="239">
        <v>0</v>
      </c>
      <c r="O392" s="239">
        <v>0</v>
      </c>
    </row>
    <row r="393" spans="1:15" hidden="1" x14ac:dyDescent="0.25">
      <c r="A393" s="6">
        <v>706</v>
      </c>
      <c r="B393" s="74" t="s">
        <v>470</v>
      </c>
      <c r="C393" s="24">
        <f t="shared" si="123"/>
        <v>0</v>
      </c>
      <c r="D393" s="239">
        <v>0</v>
      </c>
      <c r="E393" s="239">
        <v>0</v>
      </c>
      <c r="F393" s="239">
        <v>0</v>
      </c>
      <c r="G393" s="239">
        <v>0</v>
      </c>
      <c r="H393" s="239">
        <v>0</v>
      </c>
      <c r="I393" s="239">
        <v>0</v>
      </c>
      <c r="J393" s="239">
        <v>0</v>
      </c>
      <c r="K393" s="239">
        <v>0</v>
      </c>
      <c r="L393" s="239">
        <v>0</v>
      </c>
      <c r="M393" s="239">
        <v>0</v>
      </c>
      <c r="N393" s="239">
        <v>0</v>
      </c>
      <c r="O393" s="239">
        <v>0</v>
      </c>
    </row>
    <row r="394" spans="1:15" hidden="1" x14ac:dyDescent="0.25">
      <c r="A394" s="6">
        <v>707</v>
      </c>
      <c r="B394" s="74" t="s">
        <v>135</v>
      </c>
      <c r="C394" s="24">
        <f t="shared" si="123"/>
        <v>0</v>
      </c>
      <c r="D394" s="239">
        <v>0</v>
      </c>
      <c r="E394" s="239">
        <v>0</v>
      </c>
      <c r="F394" s="239">
        <v>0</v>
      </c>
      <c r="G394" s="239">
        <v>0</v>
      </c>
      <c r="H394" s="239">
        <v>0</v>
      </c>
      <c r="I394" s="239">
        <v>0</v>
      </c>
      <c r="J394" s="239">
        <v>0</v>
      </c>
      <c r="K394" s="239">
        <v>0</v>
      </c>
      <c r="L394" s="239">
        <v>0</v>
      </c>
      <c r="M394" s="239">
        <v>0</v>
      </c>
      <c r="N394" s="239">
        <v>0</v>
      </c>
      <c r="O394" s="239">
        <v>0</v>
      </c>
    </row>
    <row r="395" spans="1:15" ht="13.8" thickBot="1" x14ac:dyDescent="0.3">
      <c r="A395" s="15"/>
      <c r="B395" s="109"/>
      <c r="C395" s="24">
        <f t="shared" si="123"/>
        <v>0</v>
      </c>
      <c r="D395" s="223">
        <v>0</v>
      </c>
      <c r="E395" s="223">
        <v>0</v>
      </c>
      <c r="F395" s="223">
        <v>0</v>
      </c>
      <c r="G395" s="223">
        <v>0</v>
      </c>
      <c r="H395" s="223">
        <v>0</v>
      </c>
      <c r="I395" s="223">
        <v>0</v>
      </c>
      <c r="J395" s="223">
        <v>0</v>
      </c>
      <c r="K395" s="223">
        <v>0</v>
      </c>
      <c r="L395" s="223">
        <v>0</v>
      </c>
      <c r="M395" s="223">
        <v>0</v>
      </c>
      <c r="N395" s="223">
        <v>0</v>
      </c>
      <c r="O395" s="223">
        <v>0</v>
      </c>
    </row>
    <row r="396" spans="1:15" ht="12.75" customHeight="1" thickBot="1" x14ac:dyDescent="0.3">
      <c r="A396" s="2"/>
      <c r="B396" s="90" t="s">
        <v>211</v>
      </c>
      <c r="C396" s="105">
        <f>SUM(D396:O396)</f>
        <v>12000</v>
      </c>
      <c r="D396" s="35">
        <f>SUM(D397:D398)</f>
        <v>0</v>
      </c>
      <c r="E396" s="35">
        <f>SUM(E397:E398)</f>
        <v>0</v>
      </c>
      <c r="F396" s="35">
        <f>SUM(F397:F398)</f>
        <v>0</v>
      </c>
      <c r="G396" s="35">
        <f>SUM(G397:G398)</f>
        <v>0</v>
      </c>
      <c r="H396" s="35">
        <f>SUM(H397:H398)</f>
        <v>0</v>
      </c>
      <c r="I396" s="35">
        <f t="shared" ref="I396:L396" si="128">SUM(I397:I398)</f>
        <v>0</v>
      </c>
      <c r="J396" s="35">
        <f t="shared" si="128"/>
        <v>0</v>
      </c>
      <c r="K396" s="35">
        <f t="shared" si="128"/>
        <v>0</v>
      </c>
      <c r="L396" s="35">
        <f t="shared" si="128"/>
        <v>0</v>
      </c>
      <c r="M396" s="35">
        <f>SUM(M397:M398)</f>
        <v>4000</v>
      </c>
      <c r="N396" s="35">
        <f>SUM(N397:N398)</f>
        <v>4000</v>
      </c>
      <c r="O396" s="35">
        <f t="shared" ref="O396" si="129">SUM(O397)</f>
        <v>4000</v>
      </c>
    </row>
    <row r="397" spans="1:15" x14ac:dyDescent="0.25">
      <c r="A397" s="6">
        <v>214</v>
      </c>
      <c r="B397" s="74" t="s">
        <v>212</v>
      </c>
      <c r="C397" s="309">
        <f>SUM(D397:O397)</f>
        <v>12000</v>
      </c>
      <c r="D397" s="236">
        <v>0</v>
      </c>
      <c r="E397" s="236">
        <v>0</v>
      </c>
      <c r="F397" s="236">
        <v>0</v>
      </c>
      <c r="G397" s="236">
        <v>0</v>
      </c>
      <c r="H397" s="236">
        <v>0</v>
      </c>
      <c r="I397" s="236">
        <v>0</v>
      </c>
      <c r="J397" s="236">
        <v>0</v>
      </c>
      <c r="K397" s="236">
        <v>0</v>
      </c>
      <c r="L397" s="236">
        <v>0</v>
      </c>
      <c r="M397" s="236">
        <v>4000</v>
      </c>
      <c r="N397" s="236">
        <v>4000</v>
      </c>
      <c r="O397" s="236">
        <v>4000</v>
      </c>
    </row>
    <row r="398" spans="1:15" ht="13.8" thickBot="1" x14ac:dyDescent="0.3">
      <c r="A398" s="31"/>
      <c r="B398" s="74"/>
      <c r="C398" s="24"/>
      <c r="D398" s="34">
        <v>0</v>
      </c>
      <c r="E398" s="34">
        <v>0</v>
      </c>
      <c r="F398" s="34">
        <v>0</v>
      </c>
      <c r="G398" s="34">
        <v>0</v>
      </c>
      <c r="H398" s="34">
        <v>0</v>
      </c>
      <c r="I398" s="34">
        <v>0</v>
      </c>
      <c r="J398" s="34">
        <v>0</v>
      </c>
      <c r="K398" s="34">
        <v>0</v>
      </c>
      <c r="L398" s="34">
        <v>0</v>
      </c>
      <c r="M398" s="34">
        <v>0</v>
      </c>
      <c r="N398" s="34">
        <v>0</v>
      </c>
      <c r="O398" s="34">
        <v>0</v>
      </c>
    </row>
    <row r="399" spans="1:15" ht="13.8" thickBot="1" x14ac:dyDescent="0.3">
      <c r="A399" s="2"/>
      <c r="B399" s="90" t="s">
        <v>213</v>
      </c>
      <c r="C399" s="3">
        <f>SUM(D399:O399)</f>
        <v>1272950.9899999998</v>
      </c>
      <c r="D399" s="35">
        <f>SUM(D400:D402)</f>
        <v>0</v>
      </c>
      <c r="E399" s="35">
        <f>SUM(E400:E402)</f>
        <v>0</v>
      </c>
      <c r="F399" s="35">
        <f>SUM(F400:F402)</f>
        <v>0</v>
      </c>
      <c r="G399" s="35">
        <f>SUM(G400:G402)</f>
        <v>0</v>
      </c>
      <c r="H399" s="35">
        <f>SUM(H400:H402)</f>
        <v>0</v>
      </c>
      <c r="I399" s="35">
        <f t="shared" ref="I399:L399" si="130">SUM(I400:I402)</f>
        <v>0</v>
      </c>
      <c r="J399" s="35">
        <f t="shared" si="130"/>
        <v>0</v>
      </c>
      <c r="K399" s="35">
        <f t="shared" si="130"/>
        <v>0</v>
      </c>
      <c r="L399" s="35">
        <f t="shared" si="130"/>
        <v>0</v>
      </c>
      <c r="M399" s="35">
        <f>SUM(M400:M402)</f>
        <v>113348.42</v>
      </c>
      <c r="N399" s="35">
        <f>SUM(N400:N402)</f>
        <v>323933.68</v>
      </c>
      <c r="O399" s="35">
        <f t="shared" ref="O399" si="131">SUM(O400:O402)</f>
        <v>835668.8899999999</v>
      </c>
    </row>
    <row r="400" spans="1:15" x14ac:dyDescent="0.25">
      <c r="A400" s="6">
        <v>192</v>
      </c>
      <c r="B400" s="74" t="s">
        <v>214</v>
      </c>
      <c r="C400" s="310">
        <f>SUM(D400:O400)</f>
        <v>396014.34</v>
      </c>
      <c r="D400" s="236">
        <v>0</v>
      </c>
      <c r="E400" s="236">
        <v>0</v>
      </c>
      <c r="F400" s="236">
        <v>0</v>
      </c>
      <c r="G400" s="236">
        <v>0</v>
      </c>
      <c r="H400" s="236">
        <v>0</v>
      </c>
      <c r="I400" s="236">
        <v>0</v>
      </c>
      <c r="J400" s="236">
        <v>0</v>
      </c>
      <c r="K400" s="236">
        <v>0</v>
      </c>
      <c r="L400" s="236">
        <v>0</v>
      </c>
      <c r="M400" s="236">
        <v>87041.58</v>
      </c>
      <c r="N400" s="236">
        <v>127310.94</v>
      </c>
      <c r="O400" s="236">
        <v>181661.82</v>
      </c>
    </row>
    <row r="401" spans="1:15" x14ac:dyDescent="0.25">
      <c r="A401" s="6">
        <v>237</v>
      </c>
      <c r="B401" s="74" t="s">
        <v>215</v>
      </c>
      <c r="C401" s="309">
        <f>SUM(D401:O401)</f>
        <v>876936.64999999991</v>
      </c>
      <c r="D401" s="33">
        <v>0</v>
      </c>
      <c r="E401" s="33">
        <v>0</v>
      </c>
      <c r="F401" s="33">
        <v>0</v>
      </c>
      <c r="G401" s="33">
        <v>0</v>
      </c>
      <c r="H401" s="33">
        <v>0</v>
      </c>
      <c r="I401" s="33">
        <v>0</v>
      </c>
      <c r="J401" s="33">
        <v>0</v>
      </c>
      <c r="K401" s="33">
        <v>0</v>
      </c>
      <c r="L401" s="33">
        <v>0</v>
      </c>
      <c r="M401" s="33">
        <f>59716.27-33409.43</f>
        <v>26306.839999999997</v>
      </c>
      <c r="N401" s="33">
        <f>214457.62-17834.88</f>
        <v>196622.74</v>
      </c>
      <c r="O401" s="33">
        <v>654007.06999999995</v>
      </c>
    </row>
    <row r="402" spans="1:15" ht="13.8" thickBot="1" x14ac:dyDescent="0.3">
      <c r="A402" s="31"/>
      <c r="B402" s="74"/>
      <c r="C402" s="24"/>
      <c r="D402" s="223"/>
      <c r="E402" s="223"/>
      <c r="F402" s="223"/>
      <c r="G402" s="223"/>
      <c r="H402" s="223"/>
      <c r="I402" s="223"/>
      <c r="J402" s="223"/>
      <c r="K402" s="223"/>
      <c r="L402" s="223"/>
      <c r="M402" s="223"/>
      <c r="N402" s="223"/>
      <c r="O402" s="223"/>
    </row>
    <row r="403" spans="1:15" ht="13.8" thickBot="1" x14ac:dyDescent="0.3">
      <c r="A403" s="2"/>
      <c r="B403" s="90" t="s">
        <v>216</v>
      </c>
      <c r="C403" s="3">
        <f>SUM(D403:O403)</f>
        <v>258047.48</v>
      </c>
      <c r="D403" s="35">
        <f>SUM(D404:D406)</f>
        <v>0</v>
      </c>
      <c r="E403" s="35">
        <f>SUM(E404:E407)</f>
        <v>0</v>
      </c>
      <c r="F403" s="35">
        <f>SUM(F404:F406)</f>
        <v>0</v>
      </c>
      <c r="G403" s="35">
        <f>SUM(G404:G406)</f>
        <v>0</v>
      </c>
      <c r="H403" s="35">
        <f>SUM(H404:H406)</f>
        <v>0</v>
      </c>
      <c r="I403" s="35">
        <f>SUM(I404:I407)</f>
        <v>0</v>
      </c>
      <c r="J403" s="35">
        <f>SUM(J404:J406)</f>
        <v>0</v>
      </c>
      <c r="K403" s="35">
        <f>SUM(K404:K407)</f>
        <v>0</v>
      </c>
      <c r="L403" s="35">
        <f>SUM(L404:L407)</f>
        <v>0</v>
      </c>
      <c r="M403" s="35">
        <f>SUM(M404:M406)</f>
        <v>-5490.25</v>
      </c>
      <c r="N403" s="35">
        <f>SUM(N404:N407)</f>
        <v>39360.910000000003</v>
      </c>
      <c r="O403" s="35">
        <f t="shared" ref="O403" si="132">SUM(O404:O406)</f>
        <v>224176.82</v>
      </c>
    </row>
    <row r="404" spans="1:15" x14ac:dyDescent="0.25">
      <c r="A404" s="6">
        <v>488</v>
      </c>
      <c r="B404" s="74" t="s">
        <v>217</v>
      </c>
      <c r="C404" s="320">
        <f>SUM(D404:O404)</f>
        <v>89303.430000000008</v>
      </c>
      <c r="D404" s="222">
        <v>0</v>
      </c>
      <c r="E404" s="222">
        <v>0</v>
      </c>
      <c r="F404" s="222">
        <v>0</v>
      </c>
      <c r="G404" s="222">
        <v>0</v>
      </c>
      <c r="H404" s="222">
        <v>0</v>
      </c>
      <c r="I404" s="222">
        <v>0</v>
      </c>
      <c r="J404" s="222">
        <v>0</v>
      </c>
      <c r="K404" s="222">
        <v>0</v>
      </c>
      <c r="L404" s="222">
        <v>0</v>
      </c>
      <c r="M404" s="222">
        <v>-2265.2600000000002</v>
      </c>
      <c r="N404" s="222">
        <v>6449.98</v>
      </c>
      <c r="O404" s="222">
        <v>85118.71</v>
      </c>
    </row>
    <row r="405" spans="1:15" x14ac:dyDescent="0.25">
      <c r="A405" s="6">
        <v>489</v>
      </c>
      <c r="B405" s="74" t="s">
        <v>218</v>
      </c>
      <c r="C405" s="320">
        <f>SUM(D405:O405)</f>
        <v>168744.05</v>
      </c>
      <c r="D405" s="239">
        <v>0</v>
      </c>
      <c r="E405" s="239">
        <v>0</v>
      </c>
      <c r="F405" s="239">
        <v>0</v>
      </c>
      <c r="G405" s="239">
        <v>0</v>
      </c>
      <c r="H405" s="239">
        <v>0</v>
      </c>
      <c r="I405" s="239">
        <v>0</v>
      </c>
      <c r="J405" s="239">
        <v>0</v>
      </c>
      <c r="K405" s="239">
        <v>0</v>
      </c>
      <c r="L405" s="239">
        <v>0</v>
      </c>
      <c r="M405" s="239">
        <v>-3224.99</v>
      </c>
      <c r="N405" s="239">
        <v>32910.93</v>
      </c>
      <c r="O405" s="239">
        <v>139058.10999999999</v>
      </c>
    </row>
    <row r="406" spans="1:15" x14ac:dyDescent="0.25">
      <c r="A406" s="6">
        <v>549</v>
      </c>
      <c r="B406" s="74" t="s">
        <v>219</v>
      </c>
      <c r="C406" s="320">
        <f>SUM(D406:O406)</f>
        <v>0</v>
      </c>
      <c r="D406" s="239">
        <v>0</v>
      </c>
      <c r="E406" s="239">
        <v>0</v>
      </c>
      <c r="F406" s="239">
        <v>0</v>
      </c>
      <c r="G406" s="239">
        <v>0</v>
      </c>
      <c r="H406" s="239">
        <v>0</v>
      </c>
      <c r="I406" s="239">
        <v>0</v>
      </c>
      <c r="J406" s="239">
        <v>0</v>
      </c>
      <c r="K406" s="239">
        <v>0</v>
      </c>
      <c r="L406" s="239">
        <v>0</v>
      </c>
      <c r="M406" s="239">
        <v>0</v>
      </c>
      <c r="N406" s="239">
        <v>0</v>
      </c>
      <c r="O406" s="239">
        <v>0</v>
      </c>
    </row>
    <row r="407" spans="1:15" ht="13.8" thickBot="1" x14ac:dyDescent="0.3">
      <c r="A407" s="6"/>
      <c r="B407" s="74"/>
      <c r="C407" s="24"/>
      <c r="D407" s="223"/>
      <c r="E407" s="223"/>
      <c r="F407" s="223"/>
      <c r="G407" s="223"/>
      <c r="H407" s="223"/>
      <c r="I407" s="223"/>
      <c r="J407" s="223"/>
      <c r="K407" s="223"/>
      <c r="L407" s="223"/>
      <c r="M407" s="223"/>
      <c r="N407" s="223"/>
      <c r="O407" s="223"/>
    </row>
    <row r="408" spans="1:15" ht="13.8" thickBot="1" x14ac:dyDescent="0.3">
      <c r="A408" s="2"/>
      <c r="B408" s="90" t="s">
        <v>220</v>
      </c>
      <c r="C408" s="3">
        <f>SUM(F408:O408)</f>
        <v>0</v>
      </c>
      <c r="D408" s="35">
        <f>SUM(D409:D411)</f>
        <v>0</v>
      </c>
      <c r="E408" s="35">
        <f>SUM(E409:E411)</f>
        <v>0</v>
      </c>
      <c r="F408" s="35">
        <f>SUM(F409:F411)</f>
        <v>0</v>
      </c>
      <c r="G408" s="35">
        <f>SUM(G409:G411)</f>
        <v>0</v>
      </c>
      <c r="H408" s="35">
        <f>SUM(H409:H411)</f>
        <v>0</v>
      </c>
      <c r="I408" s="35">
        <f t="shared" ref="I408:L408" si="133">SUM(I409:I411)</f>
        <v>0</v>
      </c>
      <c r="J408" s="35">
        <f t="shared" si="133"/>
        <v>0</v>
      </c>
      <c r="K408" s="35">
        <f t="shared" si="133"/>
        <v>0</v>
      </c>
      <c r="L408" s="35">
        <f t="shared" si="133"/>
        <v>0</v>
      </c>
      <c r="M408" s="35">
        <f>SUM(M409:M411)</f>
        <v>0</v>
      </c>
      <c r="N408" s="35">
        <f>SUM(N409:N411)</f>
        <v>0</v>
      </c>
      <c r="O408" s="35">
        <f t="shared" ref="O408" si="134">SUM(O409:O411)</f>
        <v>0</v>
      </c>
    </row>
    <row r="409" spans="1:15" x14ac:dyDescent="0.25">
      <c r="A409" s="6">
        <v>575</v>
      </c>
      <c r="B409" s="74" t="s">
        <v>221</v>
      </c>
      <c r="C409" s="320">
        <f>SUM(D409:O409)</f>
        <v>0</v>
      </c>
      <c r="D409" s="222">
        <v>0</v>
      </c>
      <c r="E409" s="222">
        <v>0</v>
      </c>
      <c r="F409" s="222">
        <v>0</v>
      </c>
      <c r="G409" s="222">
        <v>0</v>
      </c>
      <c r="H409" s="222">
        <v>0</v>
      </c>
      <c r="I409" s="222">
        <v>0</v>
      </c>
      <c r="J409" s="222">
        <v>0</v>
      </c>
      <c r="K409" s="222">
        <v>0</v>
      </c>
      <c r="L409" s="222">
        <v>0</v>
      </c>
      <c r="M409" s="222">
        <v>0</v>
      </c>
      <c r="N409" s="222">
        <v>0</v>
      </c>
      <c r="O409" s="222">
        <v>0</v>
      </c>
    </row>
    <row r="410" spans="1:15" x14ac:dyDescent="0.25">
      <c r="A410" s="6">
        <v>690</v>
      </c>
      <c r="B410" s="74" t="s">
        <v>450</v>
      </c>
      <c r="C410" s="320">
        <f>SUM(D410:O410)</f>
        <v>0</v>
      </c>
      <c r="D410" s="239">
        <v>0</v>
      </c>
      <c r="E410" s="239">
        <v>0</v>
      </c>
      <c r="F410" s="239">
        <v>0</v>
      </c>
      <c r="G410" s="239">
        <v>0</v>
      </c>
      <c r="H410" s="239">
        <v>0</v>
      </c>
      <c r="I410" s="239">
        <v>0</v>
      </c>
      <c r="J410" s="239">
        <v>0</v>
      </c>
      <c r="K410" s="239">
        <v>0</v>
      </c>
      <c r="L410" s="239">
        <v>0</v>
      </c>
      <c r="M410" s="239">
        <v>0</v>
      </c>
      <c r="N410" s="239">
        <v>0</v>
      </c>
      <c r="O410" s="239">
        <v>0</v>
      </c>
    </row>
    <row r="411" spans="1:15" ht="13.8" thickBot="1" x14ac:dyDescent="0.3">
      <c r="A411" s="6"/>
      <c r="B411" s="74"/>
      <c r="C411" s="24"/>
      <c r="D411" s="223"/>
      <c r="E411" s="223"/>
      <c r="F411" s="223"/>
      <c r="G411" s="223"/>
      <c r="H411" s="223"/>
      <c r="I411" s="223"/>
      <c r="J411" s="223"/>
      <c r="K411" s="223"/>
      <c r="L411" s="223"/>
      <c r="M411" s="223"/>
      <c r="N411" s="223"/>
      <c r="O411" s="223"/>
    </row>
    <row r="412" spans="1:15" ht="13.8" thickBot="1" x14ac:dyDescent="0.3">
      <c r="A412" s="2"/>
      <c r="B412" s="90" t="s">
        <v>222</v>
      </c>
      <c r="C412" s="3">
        <f>SUM(D412:O412)</f>
        <v>392076.81999999995</v>
      </c>
      <c r="D412" s="35">
        <f>SUM(D413:D415)</f>
        <v>0</v>
      </c>
      <c r="E412" s="35">
        <f>SUM(E413:E415)</f>
        <v>0</v>
      </c>
      <c r="F412" s="35">
        <f>SUM(F413:F415)</f>
        <v>0</v>
      </c>
      <c r="G412" s="35">
        <f>SUM(G413:G415)</f>
        <v>0</v>
      </c>
      <c r="H412" s="35">
        <f>SUM(H413:H415)</f>
        <v>0</v>
      </c>
      <c r="I412" s="35">
        <f t="shared" ref="I412:L412" si="135">SUM(I413:I415)</f>
        <v>0</v>
      </c>
      <c r="J412" s="35">
        <f t="shared" si="135"/>
        <v>0</v>
      </c>
      <c r="K412" s="35">
        <f t="shared" si="135"/>
        <v>0</v>
      </c>
      <c r="L412" s="35">
        <f t="shared" si="135"/>
        <v>0</v>
      </c>
      <c r="M412" s="35">
        <f>SUM(M413:M415)</f>
        <v>0</v>
      </c>
      <c r="N412" s="35">
        <f>SUM(N413:N415)</f>
        <v>281503.67</v>
      </c>
      <c r="O412" s="35">
        <f t="shared" ref="O412" si="136">SUM(O413:O415)</f>
        <v>110573.15</v>
      </c>
    </row>
    <row r="413" spans="1:15" x14ac:dyDescent="0.25">
      <c r="A413" s="6">
        <v>492</v>
      </c>
      <c r="B413" s="74" t="s">
        <v>223</v>
      </c>
      <c r="C413" s="320">
        <f>SUM(D413:O413)</f>
        <v>392076.81999999995</v>
      </c>
      <c r="D413" s="222">
        <v>0</v>
      </c>
      <c r="E413" s="222">
        <v>0</v>
      </c>
      <c r="F413" s="222">
        <v>0</v>
      </c>
      <c r="G413" s="222">
        <v>0</v>
      </c>
      <c r="H413" s="222">
        <v>0</v>
      </c>
      <c r="I413" s="222">
        <v>0</v>
      </c>
      <c r="J413" s="222">
        <v>0</v>
      </c>
      <c r="K413" s="222">
        <v>0</v>
      </c>
      <c r="L413" s="222">
        <v>0</v>
      </c>
      <c r="M413" s="222">
        <v>0</v>
      </c>
      <c r="N413" s="222">
        <v>281503.67</v>
      </c>
      <c r="O413" s="222">
        <v>110573.15</v>
      </c>
    </row>
    <row r="414" spans="1:15" x14ac:dyDescent="0.25">
      <c r="A414" s="6">
        <v>524</v>
      </c>
      <c r="B414" s="74" t="s">
        <v>224</v>
      </c>
      <c r="C414" s="320">
        <f>SUM(D414:O414)</f>
        <v>0</v>
      </c>
      <c r="D414" s="239">
        <v>0</v>
      </c>
      <c r="E414" s="239">
        <v>0</v>
      </c>
      <c r="F414" s="239">
        <v>0</v>
      </c>
      <c r="G414" s="239">
        <v>0</v>
      </c>
      <c r="H414" s="239">
        <v>0</v>
      </c>
      <c r="I414" s="239">
        <v>0</v>
      </c>
      <c r="J414" s="239">
        <v>0</v>
      </c>
      <c r="K414" s="239">
        <v>0</v>
      </c>
      <c r="L414" s="239">
        <v>0</v>
      </c>
      <c r="M414" s="239">
        <v>0</v>
      </c>
      <c r="N414" s="239">
        <v>0</v>
      </c>
      <c r="O414" s="239">
        <v>0</v>
      </c>
    </row>
    <row r="415" spans="1:15" ht="13.8" thickBot="1" x14ac:dyDescent="0.3">
      <c r="A415" s="6"/>
      <c r="B415" s="74"/>
      <c r="C415" s="24"/>
      <c r="D415" s="223"/>
      <c r="E415" s="223"/>
      <c r="F415" s="223"/>
      <c r="G415" s="223"/>
      <c r="H415" s="223"/>
      <c r="I415" s="223"/>
      <c r="J415" s="223"/>
      <c r="K415" s="223"/>
      <c r="L415" s="223"/>
      <c r="M415" s="223"/>
      <c r="N415" s="223"/>
      <c r="O415" s="223"/>
    </row>
    <row r="416" spans="1:15" ht="13.8" thickBot="1" x14ac:dyDescent="0.3">
      <c r="A416" s="2"/>
      <c r="B416" s="90" t="s">
        <v>225</v>
      </c>
      <c r="C416" s="3">
        <f t="shared" ref="C416" si="137">SUM(C417:C431)</f>
        <v>191218.01</v>
      </c>
      <c r="D416" s="35">
        <f>SUM(D417:D431)</f>
        <v>0</v>
      </c>
      <c r="E416" s="35">
        <f>SUM(E417:E431)</f>
        <v>0</v>
      </c>
      <c r="F416" s="35">
        <f>SUM(F417:F431)</f>
        <v>0</v>
      </c>
      <c r="G416" s="35">
        <f>SUM(G417:G431)</f>
        <v>0</v>
      </c>
      <c r="H416" s="35">
        <f>SUM(H417:H431)</f>
        <v>0</v>
      </c>
      <c r="I416" s="35">
        <f t="shared" ref="I416:L416" si="138">SUM(I417:I431)</f>
        <v>0</v>
      </c>
      <c r="J416" s="35">
        <f t="shared" si="138"/>
        <v>0</v>
      </c>
      <c r="K416" s="35">
        <f t="shared" si="138"/>
        <v>0</v>
      </c>
      <c r="L416" s="35">
        <f t="shared" si="138"/>
        <v>0</v>
      </c>
      <c r="M416" s="35">
        <f>SUM(M417:M431)</f>
        <v>53327.320000000007</v>
      </c>
      <c r="N416" s="35">
        <f>SUM(N417:N431)</f>
        <v>75162.219999999987</v>
      </c>
      <c r="O416" s="35">
        <f t="shared" ref="O416" si="139">SUM(O417:O431)</f>
        <v>62728.469999999994</v>
      </c>
    </row>
    <row r="417" spans="1:18" x14ac:dyDescent="0.25">
      <c r="A417" s="6">
        <v>494</v>
      </c>
      <c r="B417" s="74" t="s">
        <v>226</v>
      </c>
      <c r="C417" s="319">
        <f t="shared" ref="C417:C431" si="140">SUM(D417:O417)</f>
        <v>10325.34</v>
      </c>
      <c r="D417" s="222">
        <v>0</v>
      </c>
      <c r="E417" s="222">
        <v>0</v>
      </c>
      <c r="F417" s="222">
        <v>0</v>
      </c>
      <c r="G417" s="222">
        <v>0</v>
      </c>
      <c r="H417" s="222">
        <v>0</v>
      </c>
      <c r="I417" s="222">
        <v>0</v>
      </c>
      <c r="J417" s="222">
        <v>0</v>
      </c>
      <c r="K417" s="222">
        <v>0</v>
      </c>
      <c r="L417" s="222">
        <v>0</v>
      </c>
      <c r="M417" s="222">
        <v>3191.16</v>
      </c>
      <c r="N417" s="222">
        <v>3441.78</v>
      </c>
      <c r="O417" s="222">
        <v>3692.4</v>
      </c>
    </row>
    <row r="418" spans="1:18" x14ac:dyDescent="0.25">
      <c r="A418" s="6">
        <v>504</v>
      </c>
      <c r="B418" s="74" t="s">
        <v>227</v>
      </c>
      <c r="C418" s="318">
        <f t="shared" si="140"/>
        <v>78138.959999999992</v>
      </c>
      <c r="D418" s="239">
        <v>0</v>
      </c>
      <c r="E418" s="239">
        <v>0</v>
      </c>
      <c r="F418" s="239">
        <v>0</v>
      </c>
      <c r="G418" s="239">
        <v>0</v>
      </c>
      <c r="H418" s="239">
        <v>0</v>
      </c>
      <c r="I418" s="239">
        <v>0</v>
      </c>
      <c r="J418" s="239">
        <v>0</v>
      </c>
      <c r="K418" s="239">
        <v>0</v>
      </c>
      <c r="L418" s="239">
        <v>0</v>
      </c>
      <c r="M418" s="239">
        <v>25328.25</v>
      </c>
      <c r="N418" s="239">
        <f>32628.25-6500</f>
        <v>26128.25</v>
      </c>
      <c r="O418" s="239">
        <v>26682.46</v>
      </c>
    </row>
    <row r="419" spans="1:18" x14ac:dyDescent="0.25">
      <c r="A419" s="6">
        <v>505</v>
      </c>
      <c r="B419" s="74" t="s">
        <v>228</v>
      </c>
      <c r="C419" s="318">
        <f t="shared" si="140"/>
        <v>30300.720000000001</v>
      </c>
      <c r="D419" s="239">
        <v>0</v>
      </c>
      <c r="E419" s="239">
        <v>0</v>
      </c>
      <c r="F419" s="239">
        <v>0</v>
      </c>
      <c r="G419" s="239">
        <v>0</v>
      </c>
      <c r="H419" s="239">
        <v>0</v>
      </c>
      <c r="I419" s="239">
        <v>0</v>
      </c>
      <c r="J419" s="239">
        <v>0</v>
      </c>
      <c r="K419" s="239">
        <v>0</v>
      </c>
      <c r="L419" s="239">
        <v>0</v>
      </c>
      <c r="M419" s="239">
        <v>9067.51</v>
      </c>
      <c r="N419" s="239">
        <v>11680.9</v>
      </c>
      <c r="O419" s="239">
        <v>9552.31</v>
      </c>
    </row>
    <row r="420" spans="1:18" x14ac:dyDescent="0.25">
      <c r="A420" s="6">
        <v>506</v>
      </c>
      <c r="B420" s="74" t="s">
        <v>229</v>
      </c>
      <c r="C420" s="318">
        <f t="shared" si="140"/>
        <v>6990.92</v>
      </c>
      <c r="D420" s="239">
        <v>0</v>
      </c>
      <c r="E420" s="239">
        <v>0</v>
      </c>
      <c r="F420" s="239">
        <v>0</v>
      </c>
      <c r="G420" s="239">
        <v>0</v>
      </c>
      <c r="H420" s="239">
        <v>0</v>
      </c>
      <c r="I420" s="239">
        <v>0</v>
      </c>
      <c r="J420" s="239">
        <v>0</v>
      </c>
      <c r="K420" s="239">
        <v>0</v>
      </c>
      <c r="L420" s="239">
        <v>0</v>
      </c>
      <c r="M420" s="239">
        <f>2646.78-976.18</f>
        <v>1670.6000000000004</v>
      </c>
      <c r="N420" s="239">
        <v>2660.16</v>
      </c>
      <c r="O420" s="239">
        <v>2660.16</v>
      </c>
    </row>
    <row r="421" spans="1:18" x14ac:dyDescent="0.25">
      <c r="A421" s="6">
        <v>507</v>
      </c>
      <c r="B421" s="74" t="s">
        <v>475</v>
      </c>
      <c r="C421" s="318">
        <f t="shared" si="140"/>
        <v>570.84999999999991</v>
      </c>
      <c r="D421" s="239">
        <v>0</v>
      </c>
      <c r="E421" s="239">
        <v>0</v>
      </c>
      <c r="F421" s="239">
        <v>0</v>
      </c>
      <c r="G421" s="239">
        <v>0</v>
      </c>
      <c r="H421" s="239">
        <v>0</v>
      </c>
      <c r="I421" s="239">
        <v>0</v>
      </c>
      <c r="J421" s="239">
        <v>0</v>
      </c>
      <c r="K421" s="239">
        <v>0</v>
      </c>
      <c r="L421" s="239">
        <v>0</v>
      </c>
      <c r="M421" s="239">
        <v>131.72999999999999</v>
      </c>
      <c r="N421" s="239">
        <v>219.56</v>
      </c>
      <c r="O421" s="239">
        <v>219.56</v>
      </c>
    </row>
    <row r="422" spans="1:18" x14ac:dyDescent="0.25">
      <c r="A422" s="6">
        <v>508</v>
      </c>
      <c r="B422" s="74" t="s">
        <v>141</v>
      </c>
      <c r="C422" s="318">
        <f t="shared" si="140"/>
        <v>28897.57</v>
      </c>
      <c r="D422" s="239">
        <v>0</v>
      </c>
      <c r="E422" s="239">
        <v>0</v>
      </c>
      <c r="F422" s="239">
        <v>0</v>
      </c>
      <c r="G422" s="239">
        <v>0</v>
      </c>
      <c r="H422" s="239">
        <v>0</v>
      </c>
      <c r="I422" s="239">
        <v>0</v>
      </c>
      <c r="J422" s="239">
        <v>0</v>
      </c>
      <c r="K422" s="239">
        <v>0</v>
      </c>
      <c r="L422" s="239">
        <v>0</v>
      </c>
      <c r="M422" s="239">
        <v>2814.25</v>
      </c>
      <c r="N422" s="239">
        <v>16177.57</v>
      </c>
      <c r="O422" s="239">
        <v>9905.75</v>
      </c>
    </row>
    <row r="423" spans="1:18" ht="14.25" customHeight="1" x14ac:dyDescent="0.25">
      <c r="A423" s="6">
        <v>509</v>
      </c>
      <c r="B423" s="74" t="s">
        <v>201</v>
      </c>
      <c r="C423" s="318">
        <f t="shared" si="140"/>
        <v>7548.7300000000005</v>
      </c>
      <c r="D423" s="239">
        <v>0</v>
      </c>
      <c r="E423" s="239">
        <v>0</v>
      </c>
      <c r="F423" s="239">
        <v>0</v>
      </c>
      <c r="G423" s="239">
        <v>0</v>
      </c>
      <c r="H423" s="239">
        <v>0</v>
      </c>
      <c r="I423" s="239">
        <v>0</v>
      </c>
      <c r="J423" s="239">
        <v>0</v>
      </c>
      <c r="K423" s="239">
        <v>0</v>
      </c>
      <c r="L423" s="239">
        <v>0</v>
      </c>
      <c r="M423" s="239">
        <v>2110.69</v>
      </c>
      <c r="N423" s="239">
        <v>3214.5</v>
      </c>
      <c r="O423" s="239">
        <v>2223.54</v>
      </c>
    </row>
    <row r="424" spans="1:18" x14ac:dyDescent="0.25">
      <c r="A424" s="6">
        <v>510</v>
      </c>
      <c r="B424" s="74" t="s">
        <v>230</v>
      </c>
      <c r="C424" s="318">
        <f t="shared" si="140"/>
        <v>7744.5700000000006</v>
      </c>
      <c r="D424" s="239">
        <v>0</v>
      </c>
      <c r="E424" s="239">
        <v>0</v>
      </c>
      <c r="F424" s="239">
        <v>0</v>
      </c>
      <c r="G424" s="239">
        <v>0</v>
      </c>
      <c r="H424" s="239">
        <v>0</v>
      </c>
      <c r="I424" s="239">
        <v>0</v>
      </c>
      <c r="J424" s="239">
        <v>0</v>
      </c>
      <c r="K424" s="239">
        <v>0</v>
      </c>
      <c r="L424" s="239">
        <v>0</v>
      </c>
      <c r="M424" s="239">
        <v>754.22</v>
      </c>
      <c r="N424" s="239">
        <v>4335.6000000000004</v>
      </c>
      <c r="O424" s="239">
        <v>2654.75</v>
      </c>
    </row>
    <row r="425" spans="1:18" x14ac:dyDescent="0.25">
      <c r="A425" s="6">
        <v>511</v>
      </c>
      <c r="B425" s="74" t="s">
        <v>231</v>
      </c>
      <c r="C425" s="318">
        <f t="shared" si="140"/>
        <v>2311.79</v>
      </c>
      <c r="D425" s="239">
        <v>0</v>
      </c>
      <c r="E425" s="239">
        <v>0</v>
      </c>
      <c r="F425" s="239">
        <v>0</v>
      </c>
      <c r="G425" s="239">
        <v>0</v>
      </c>
      <c r="H425" s="239">
        <v>0</v>
      </c>
      <c r="I425" s="239">
        <v>0</v>
      </c>
      <c r="J425" s="239">
        <v>0</v>
      </c>
      <c r="K425" s="239">
        <v>0</v>
      </c>
      <c r="L425" s="239">
        <v>0</v>
      </c>
      <c r="M425" s="239">
        <v>225.14</v>
      </c>
      <c r="N425" s="239">
        <v>1294.2</v>
      </c>
      <c r="O425" s="239">
        <v>792.45</v>
      </c>
    </row>
    <row r="426" spans="1:18" x14ac:dyDescent="0.25">
      <c r="A426" s="6">
        <v>512</v>
      </c>
      <c r="B426" s="74" t="s">
        <v>232</v>
      </c>
      <c r="C426" s="318">
        <f t="shared" si="140"/>
        <v>2023.04</v>
      </c>
      <c r="D426" s="239">
        <v>0</v>
      </c>
      <c r="E426" s="239">
        <v>0</v>
      </c>
      <c r="F426" s="239">
        <v>0</v>
      </c>
      <c r="G426" s="239">
        <v>0</v>
      </c>
      <c r="H426" s="239">
        <v>0</v>
      </c>
      <c r="I426" s="239">
        <v>0</v>
      </c>
      <c r="J426" s="239">
        <v>0</v>
      </c>
      <c r="K426" s="239">
        <v>0</v>
      </c>
      <c r="L426" s="239">
        <v>0</v>
      </c>
      <c r="M426" s="239">
        <v>565.66</v>
      </c>
      <c r="N426" s="239">
        <v>861.48</v>
      </c>
      <c r="O426" s="239">
        <v>595.9</v>
      </c>
    </row>
    <row r="427" spans="1:18" x14ac:dyDescent="0.25">
      <c r="A427" s="6">
        <v>513</v>
      </c>
      <c r="B427" s="74" t="s">
        <v>233</v>
      </c>
      <c r="C427" s="318">
        <f t="shared" si="140"/>
        <v>603.92000000000007</v>
      </c>
      <c r="D427" s="239">
        <v>0</v>
      </c>
      <c r="E427" s="239">
        <v>0</v>
      </c>
      <c r="F427" s="239">
        <v>0</v>
      </c>
      <c r="G427" s="239">
        <v>0</v>
      </c>
      <c r="H427" s="239">
        <v>0</v>
      </c>
      <c r="I427" s="239">
        <v>0</v>
      </c>
      <c r="J427" s="239">
        <v>0</v>
      </c>
      <c r="K427" s="239">
        <v>0</v>
      </c>
      <c r="L427" s="239">
        <v>0</v>
      </c>
      <c r="M427" s="239">
        <v>168.86</v>
      </c>
      <c r="N427" s="239">
        <v>257.17</v>
      </c>
      <c r="O427" s="239">
        <v>177.89</v>
      </c>
    </row>
    <row r="428" spans="1:18" x14ac:dyDescent="0.25">
      <c r="A428" s="6">
        <v>514</v>
      </c>
      <c r="B428" s="74" t="s">
        <v>234</v>
      </c>
      <c r="C428" s="318">
        <f t="shared" si="140"/>
        <v>288.97000000000003</v>
      </c>
      <c r="D428" s="239">
        <v>0</v>
      </c>
      <c r="E428" s="239">
        <v>0</v>
      </c>
      <c r="F428" s="239">
        <v>0</v>
      </c>
      <c r="G428" s="239">
        <v>0</v>
      </c>
      <c r="H428" s="239">
        <v>0</v>
      </c>
      <c r="I428" s="239">
        <v>0</v>
      </c>
      <c r="J428" s="239">
        <v>0</v>
      </c>
      <c r="K428" s="239">
        <v>0</v>
      </c>
      <c r="L428" s="239">
        <v>0</v>
      </c>
      <c r="M428" s="239">
        <v>28.14</v>
      </c>
      <c r="N428" s="239">
        <v>161.77000000000001</v>
      </c>
      <c r="O428" s="239">
        <v>99.06</v>
      </c>
    </row>
    <row r="429" spans="1:18" x14ac:dyDescent="0.25">
      <c r="A429" s="6">
        <v>515</v>
      </c>
      <c r="B429" s="74" t="s">
        <v>235</v>
      </c>
      <c r="C429" s="318">
        <f t="shared" ref="C429" si="141">SUM(D429:O429)</f>
        <v>75.489999999999995</v>
      </c>
      <c r="D429" s="239">
        <v>0</v>
      </c>
      <c r="E429" s="239">
        <v>0</v>
      </c>
      <c r="F429" s="239">
        <v>0</v>
      </c>
      <c r="G429" s="239">
        <v>0</v>
      </c>
      <c r="H429" s="239">
        <v>0</v>
      </c>
      <c r="I429" s="239">
        <v>0</v>
      </c>
      <c r="J429" s="239">
        <v>0</v>
      </c>
      <c r="K429" s="239">
        <v>0</v>
      </c>
      <c r="L429" s="239">
        <v>0</v>
      </c>
      <c r="M429" s="239">
        <v>21.11</v>
      </c>
      <c r="N429" s="239">
        <v>32.14</v>
      </c>
      <c r="O429" s="239">
        <v>22.24</v>
      </c>
    </row>
    <row r="430" spans="1:18" x14ac:dyDescent="0.25">
      <c r="A430" s="6">
        <v>551</v>
      </c>
      <c r="B430" s="74" t="s">
        <v>236</v>
      </c>
      <c r="C430" s="318">
        <f t="shared" si="140"/>
        <v>0</v>
      </c>
      <c r="D430" s="239">
        <v>0</v>
      </c>
      <c r="E430" s="239">
        <v>0</v>
      </c>
      <c r="F430" s="239">
        <v>0</v>
      </c>
      <c r="G430" s="239">
        <v>0</v>
      </c>
      <c r="H430" s="239">
        <v>0</v>
      </c>
      <c r="I430" s="239">
        <v>0</v>
      </c>
      <c r="J430" s="239">
        <v>0</v>
      </c>
      <c r="K430" s="239">
        <v>0</v>
      </c>
      <c r="L430" s="239">
        <v>0</v>
      </c>
      <c r="M430" s="239">
        <v>0</v>
      </c>
      <c r="N430" s="239">
        <v>0</v>
      </c>
      <c r="O430" s="239">
        <v>0</v>
      </c>
      <c r="R430" s="128"/>
    </row>
    <row r="431" spans="1:18" ht="13.8" thickBot="1" x14ac:dyDescent="0.3">
      <c r="A431" s="6">
        <v>577</v>
      </c>
      <c r="B431" s="74" t="s">
        <v>237</v>
      </c>
      <c r="C431" s="318">
        <f t="shared" si="140"/>
        <v>15397.14</v>
      </c>
      <c r="D431" s="223">
        <v>0</v>
      </c>
      <c r="E431" s="223">
        <v>0</v>
      </c>
      <c r="F431" s="223">
        <v>0</v>
      </c>
      <c r="G431" s="223">
        <v>0</v>
      </c>
      <c r="H431" s="223">
        <v>0</v>
      </c>
      <c r="I431" s="223">
        <v>0</v>
      </c>
      <c r="J431" s="223">
        <v>0</v>
      </c>
      <c r="K431" s="223">
        <v>0</v>
      </c>
      <c r="L431" s="223">
        <v>0</v>
      </c>
      <c r="M431" s="223">
        <v>7250</v>
      </c>
      <c r="N431" s="223">
        <v>4697.1400000000003</v>
      </c>
      <c r="O431" s="223">
        <v>3450</v>
      </c>
      <c r="R431" s="128"/>
    </row>
    <row r="432" spans="1:18" ht="13.8" thickBot="1" x14ac:dyDescent="0.3">
      <c r="A432" s="2"/>
      <c r="B432" s="90" t="s">
        <v>238</v>
      </c>
      <c r="C432" s="3">
        <f t="shared" ref="C432" si="142">SUM(C433:C436)</f>
        <v>242145.80000000002</v>
      </c>
      <c r="D432" s="35">
        <f>SUM(D433:D436)</f>
        <v>0</v>
      </c>
      <c r="E432" s="35">
        <f>SUM(E433:E436)</f>
        <v>0</v>
      </c>
      <c r="F432" s="35">
        <f>SUM(F433:F436)</f>
        <v>0</v>
      </c>
      <c r="G432" s="35">
        <f>SUM(G433:G436)</f>
        <v>0</v>
      </c>
      <c r="H432" s="35">
        <f>SUM(H433:H436)</f>
        <v>0</v>
      </c>
      <c r="I432" s="35">
        <f t="shared" ref="I432:L432" si="143">SUM(I433:I436)</f>
        <v>0</v>
      </c>
      <c r="J432" s="35">
        <f t="shared" si="143"/>
        <v>0</v>
      </c>
      <c r="K432" s="35">
        <f t="shared" si="143"/>
        <v>0</v>
      </c>
      <c r="L432" s="35">
        <f t="shared" si="143"/>
        <v>0</v>
      </c>
      <c r="M432" s="35">
        <f>SUM(M433:M436)</f>
        <v>34352.129999999997</v>
      </c>
      <c r="N432" s="35">
        <f>SUM(N433:N436)</f>
        <v>0</v>
      </c>
      <c r="O432" s="35">
        <f t="shared" ref="O432" si="144">SUM(O433:O436)</f>
        <v>207793.67</v>
      </c>
    </row>
    <row r="433" spans="1:15" x14ac:dyDescent="0.25">
      <c r="A433" s="6">
        <v>495</v>
      </c>
      <c r="B433" s="74" t="s">
        <v>239</v>
      </c>
      <c r="C433" s="320">
        <f>SUM(D433:O433)</f>
        <v>242145.80000000002</v>
      </c>
      <c r="D433" s="222">
        <v>0</v>
      </c>
      <c r="E433" s="222">
        <v>0</v>
      </c>
      <c r="F433" s="222">
        <v>0</v>
      </c>
      <c r="G433" s="222">
        <v>0</v>
      </c>
      <c r="H433" s="222">
        <v>0</v>
      </c>
      <c r="I433" s="222">
        <v>0</v>
      </c>
      <c r="J433" s="222">
        <v>0</v>
      </c>
      <c r="K433" s="222">
        <v>0</v>
      </c>
      <c r="L433" s="222">
        <v>0</v>
      </c>
      <c r="M433" s="222">
        <v>34352.129999999997</v>
      </c>
      <c r="N433" s="222">
        <v>0</v>
      </c>
      <c r="O433" s="222">
        <v>207793.67</v>
      </c>
    </row>
    <row r="434" spans="1:15" x14ac:dyDescent="0.25">
      <c r="A434" s="6">
        <v>548</v>
      </c>
      <c r="B434" s="74" t="s">
        <v>240</v>
      </c>
      <c r="C434" s="320">
        <f>SUM(D434:O434)</f>
        <v>0</v>
      </c>
      <c r="D434" s="239">
        <v>0</v>
      </c>
      <c r="E434" s="239">
        <v>0</v>
      </c>
      <c r="F434" s="239">
        <v>0</v>
      </c>
      <c r="G434" s="239">
        <v>0</v>
      </c>
      <c r="H434" s="239">
        <v>0</v>
      </c>
      <c r="I434" s="239">
        <v>0</v>
      </c>
      <c r="J434" s="239">
        <v>0</v>
      </c>
      <c r="K434" s="239">
        <v>0</v>
      </c>
      <c r="L434" s="239">
        <v>0</v>
      </c>
      <c r="M434" s="239">
        <v>0</v>
      </c>
      <c r="N434" s="239">
        <v>0</v>
      </c>
      <c r="O434" s="239">
        <v>0</v>
      </c>
    </row>
    <row r="435" spans="1:15" x14ac:dyDescent="0.25">
      <c r="A435" s="6">
        <v>606</v>
      </c>
      <c r="B435" s="74" t="s">
        <v>241</v>
      </c>
      <c r="C435" s="320">
        <f>SUM(D435:O435)</f>
        <v>0</v>
      </c>
      <c r="D435" s="239">
        <v>0</v>
      </c>
      <c r="E435" s="239">
        <v>0</v>
      </c>
      <c r="F435" s="239">
        <v>0</v>
      </c>
      <c r="G435" s="239">
        <v>0</v>
      </c>
      <c r="H435" s="239">
        <v>0</v>
      </c>
      <c r="I435" s="239">
        <v>0</v>
      </c>
      <c r="J435" s="239">
        <v>0</v>
      </c>
      <c r="K435" s="239">
        <v>0</v>
      </c>
      <c r="L435" s="239">
        <v>0</v>
      </c>
      <c r="M435" s="239">
        <v>0</v>
      </c>
      <c r="N435" s="239">
        <v>0</v>
      </c>
      <c r="O435" s="239">
        <v>0</v>
      </c>
    </row>
    <row r="436" spans="1:15" ht="13.8" thickBot="1" x14ac:dyDescent="0.3">
      <c r="A436" s="6"/>
      <c r="B436" s="74"/>
      <c r="C436" s="24"/>
      <c r="D436" s="223"/>
      <c r="E436" s="223"/>
      <c r="F436" s="223"/>
      <c r="G436" s="223"/>
      <c r="H436" s="223"/>
      <c r="I436" s="223"/>
      <c r="J436" s="223"/>
      <c r="K436" s="223"/>
      <c r="L436" s="223"/>
      <c r="M436" s="223"/>
      <c r="N436" s="223"/>
      <c r="O436" s="223"/>
    </row>
    <row r="437" spans="1:15" ht="13.8" thickBot="1" x14ac:dyDescent="0.3">
      <c r="A437" s="2"/>
      <c r="B437" s="90" t="s">
        <v>242</v>
      </c>
      <c r="C437" s="3">
        <f>SUM(D437:O437)</f>
        <v>6636.0499999999993</v>
      </c>
      <c r="D437" s="3">
        <f>SUM(D438:D442)</f>
        <v>0</v>
      </c>
      <c r="E437" s="3">
        <f>SUM(E438:E442)</f>
        <v>0</v>
      </c>
      <c r="F437" s="3">
        <f>SUM(F438:F442)</f>
        <v>0</v>
      </c>
      <c r="G437" s="3">
        <f>SUM(G438:G442)</f>
        <v>0</v>
      </c>
      <c r="H437" s="3">
        <f>SUM(H438:H442)</f>
        <v>0</v>
      </c>
      <c r="I437" s="3">
        <f t="shared" ref="I437:L437" si="145">SUM(I438:I442)</f>
        <v>0</v>
      </c>
      <c r="J437" s="35">
        <f t="shared" si="145"/>
        <v>0</v>
      </c>
      <c r="K437" s="35">
        <f t="shared" si="145"/>
        <v>0</v>
      </c>
      <c r="L437" s="35">
        <f t="shared" si="145"/>
        <v>0</v>
      </c>
      <c r="M437" s="35">
        <f>SUM(M438:M442)</f>
        <v>1400.4</v>
      </c>
      <c r="N437" s="35">
        <f>SUM(N438:N442)</f>
        <v>3143.99</v>
      </c>
      <c r="O437" s="35">
        <f t="shared" ref="O437" si="146">SUM(O438:O442)</f>
        <v>2091.66</v>
      </c>
    </row>
    <row r="438" spans="1:15" hidden="1" x14ac:dyDescent="0.25">
      <c r="A438" s="6">
        <v>496</v>
      </c>
      <c r="B438" s="108" t="s">
        <v>243</v>
      </c>
      <c r="C438" s="218">
        <f>SUM(D438:O438)</f>
        <v>0</v>
      </c>
      <c r="D438" s="222">
        <v>0</v>
      </c>
      <c r="E438" s="222">
        <v>0</v>
      </c>
      <c r="F438" s="222">
        <v>0</v>
      </c>
      <c r="G438" s="222">
        <v>0</v>
      </c>
      <c r="H438" s="222">
        <v>0</v>
      </c>
      <c r="I438" s="222">
        <v>0</v>
      </c>
      <c r="J438" s="222">
        <v>0</v>
      </c>
      <c r="K438" s="222">
        <v>0</v>
      </c>
      <c r="L438" s="222">
        <v>0</v>
      </c>
      <c r="M438" s="222">
        <v>0</v>
      </c>
      <c r="N438" s="222">
        <v>0</v>
      </c>
      <c r="O438" s="222">
        <v>0</v>
      </c>
    </row>
    <row r="439" spans="1:15" x14ac:dyDescent="0.25">
      <c r="A439" s="6">
        <v>498</v>
      </c>
      <c r="B439" s="74" t="s">
        <v>607</v>
      </c>
      <c r="C439" s="320">
        <f>SUM(D439:O439)</f>
        <v>0</v>
      </c>
      <c r="D439" s="239">
        <v>0</v>
      </c>
      <c r="E439" s="239">
        <v>0</v>
      </c>
      <c r="F439" s="239">
        <v>0</v>
      </c>
      <c r="G439" s="239">
        <v>0</v>
      </c>
      <c r="H439" s="239">
        <v>0</v>
      </c>
      <c r="I439" s="239">
        <v>0</v>
      </c>
      <c r="J439" s="239">
        <v>0</v>
      </c>
      <c r="K439" s="239">
        <v>0</v>
      </c>
      <c r="L439" s="239">
        <v>0</v>
      </c>
      <c r="M439" s="239">
        <v>0</v>
      </c>
      <c r="N439" s="239">
        <v>0</v>
      </c>
      <c r="O439" s="239">
        <v>0</v>
      </c>
    </row>
    <row r="440" spans="1:15" x14ac:dyDescent="0.25">
      <c r="A440" s="6">
        <v>558</v>
      </c>
      <c r="B440" s="74" t="s">
        <v>244</v>
      </c>
      <c r="C440" s="320">
        <f>SUM(D440:O440)</f>
        <v>4715.0599999999995</v>
      </c>
      <c r="D440" s="239">
        <v>0</v>
      </c>
      <c r="E440" s="239">
        <v>0</v>
      </c>
      <c r="F440" s="239">
        <v>0</v>
      </c>
      <c r="G440" s="239">
        <v>0</v>
      </c>
      <c r="H440" s="239">
        <v>0</v>
      </c>
      <c r="I440" s="239">
        <v>0</v>
      </c>
      <c r="J440" s="239">
        <v>0</v>
      </c>
      <c r="K440" s="239">
        <v>0</v>
      </c>
      <c r="L440" s="239">
        <v>0</v>
      </c>
      <c r="M440" s="239">
        <v>1400.4</v>
      </c>
      <c r="N440" s="239">
        <v>1223</v>
      </c>
      <c r="O440" s="239">
        <v>2091.66</v>
      </c>
    </row>
    <row r="441" spans="1:15" x14ac:dyDescent="0.25">
      <c r="A441" s="6">
        <v>568</v>
      </c>
      <c r="B441" s="74" t="s">
        <v>245</v>
      </c>
      <c r="C441" s="320">
        <f>SUM(D441:O441)</f>
        <v>1920.99</v>
      </c>
      <c r="D441" s="239">
        <v>0</v>
      </c>
      <c r="E441" s="239">
        <v>0</v>
      </c>
      <c r="F441" s="239">
        <v>0</v>
      </c>
      <c r="G441" s="239">
        <v>0</v>
      </c>
      <c r="H441" s="239">
        <v>0</v>
      </c>
      <c r="I441" s="239">
        <v>0</v>
      </c>
      <c r="J441" s="239">
        <v>0</v>
      </c>
      <c r="K441" s="239">
        <v>0</v>
      </c>
      <c r="L441" s="239">
        <v>0</v>
      </c>
      <c r="M441" s="239">
        <v>0</v>
      </c>
      <c r="N441" s="239">
        <v>1920.99</v>
      </c>
      <c r="O441" s="239">
        <v>0</v>
      </c>
    </row>
    <row r="442" spans="1:15" ht="13.8" thickBot="1" x14ac:dyDescent="0.3">
      <c r="A442" s="6"/>
      <c r="B442" s="74"/>
      <c r="C442" s="24"/>
      <c r="D442" s="223"/>
      <c r="E442" s="223"/>
      <c r="F442" s="223"/>
      <c r="G442" s="223"/>
      <c r="H442" s="223"/>
      <c r="I442" s="223"/>
      <c r="J442" s="223"/>
      <c r="K442" s="223"/>
      <c r="L442" s="223"/>
      <c r="M442" s="223"/>
      <c r="N442" s="223"/>
      <c r="O442" s="223"/>
    </row>
    <row r="443" spans="1:15" ht="13.8" thickBot="1" x14ac:dyDescent="0.3">
      <c r="A443" s="2"/>
      <c r="B443" s="90" t="s">
        <v>246</v>
      </c>
      <c r="C443" s="3">
        <f>SUM(D443:O443)</f>
        <v>54854.729999999996</v>
      </c>
      <c r="D443" s="35">
        <f>SUM(D444)</f>
        <v>0</v>
      </c>
      <c r="E443" s="35">
        <f>SUM(E444)</f>
        <v>0</v>
      </c>
      <c r="F443" s="35">
        <f>SUM(F444)</f>
        <v>0</v>
      </c>
      <c r="G443" s="88">
        <f>SUM(G444)</f>
        <v>0</v>
      </c>
      <c r="H443" s="88">
        <f t="shared" ref="H443:J443" si="147">SUM(H444)</f>
        <v>0</v>
      </c>
      <c r="I443" s="3">
        <f t="shared" si="147"/>
        <v>0</v>
      </c>
      <c r="J443" s="35">
        <f t="shared" si="147"/>
        <v>0</v>
      </c>
      <c r="K443" s="35">
        <f>SUM(K444:K445)</f>
        <v>0</v>
      </c>
      <c r="L443" s="35">
        <f>SUM(L444:L445)</f>
        <v>0</v>
      </c>
      <c r="M443" s="35">
        <f>SUM(M444)</f>
        <v>19545.939999999999</v>
      </c>
      <c r="N443" s="35">
        <f>SUM(N444)</f>
        <v>15762.849999999999</v>
      </c>
      <c r="O443" s="35">
        <f t="shared" ref="O443" si="148">SUM(O444)</f>
        <v>19545.939999999999</v>
      </c>
    </row>
    <row r="444" spans="1:15" x14ac:dyDescent="0.25">
      <c r="A444" s="6">
        <v>497</v>
      </c>
      <c r="B444" s="74" t="s">
        <v>247</v>
      </c>
      <c r="C444" s="321">
        <f>SUM(D444:O444)</f>
        <v>54854.729999999996</v>
      </c>
      <c r="D444" s="222">
        <v>0</v>
      </c>
      <c r="E444" s="222">
        <v>0</v>
      </c>
      <c r="F444" s="222">
        <v>0</v>
      </c>
      <c r="G444" s="222">
        <v>0</v>
      </c>
      <c r="H444" s="222">
        <v>0</v>
      </c>
      <c r="I444" s="222">
        <v>0</v>
      </c>
      <c r="J444" s="222">
        <v>0</v>
      </c>
      <c r="K444" s="222">
        <v>0</v>
      </c>
      <c r="L444" s="222">
        <v>0</v>
      </c>
      <c r="M444" s="222">
        <v>19545.939999999999</v>
      </c>
      <c r="N444" s="222">
        <f>19545.94-3783.09</f>
        <v>15762.849999999999</v>
      </c>
      <c r="O444" s="222">
        <v>19545.939999999999</v>
      </c>
    </row>
    <row r="445" spans="1:15" ht="13.8" thickBot="1" x14ac:dyDescent="0.3">
      <c r="A445" s="6"/>
      <c r="B445" s="74"/>
      <c r="C445" s="24"/>
      <c r="D445" s="223"/>
      <c r="E445" s="223"/>
      <c r="F445" s="223"/>
      <c r="G445" s="223"/>
      <c r="H445" s="223"/>
      <c r="I445" s="223"/>
      <c r="J445" s="223"/>
      <c r="K445" s="223"/>
      <c r="L445" s="223"/>
      <c r="M445" s="223"/>
      <c r="N445" s="223"/>
      <c r="O445" s="223"/>
    </row>
    <row r="446" spans="1:15" ht="13.8" thickBot="1" x14ac:dyDescent="0.3">
      <c r="A446" s="2"/>
      <c r="B446" s="90" t="s">
        <v>248</v>
      </c>
      <c r="C446" s="3">
        <f>SUM(D446:O446)</f>
        <v>0</v>
      </c>
      <c r="D446" s="35">
        <f>SUM(D447)</f>
        <v>0</v>
      </c>
      <c r="E446" s="35">
        <f>SUM(E447)</f>
        <v>0</v>
      </c>
      <c r="F446" s="35">
        <f>SUM(F447)</f>
        <v>0</v>
      </c>
      <c r="G446" s="88">
        <f>SUM(G447)</f>
        <v>0</v>
      </c>
      <c r="H446" s="88">
        <f t="shared" ref="H446:J446" si="149">SUM(H447)</f>
        <v>0</v>
      </c>
      <c r="I446" s="3">
        <f t="shared" si="149"/>
        <v>0</v>
      </c>
      <c r="J446" s="35">
        <f t="shared" si="149"/>
        <v>0</v>
      </c>
      <c r="K446" s="35">
        <f>SUM(K447:K448)</f>
        <v>0</v>
      </c>
      <c r="L446" s="35">
        <f>SUM(L447:L448)</f>
        <v>0</v>
      </c>
      <c r="M446" s="35">
        <f>SUM(M447)</f>
        <v>0</v>
      </c>
      <c r="N446" s="35">
        <f>SUM(N447)</f>
        <v>0</v>
      </c>
      <c r="O446" s="35">
        <f t="shared" ref="O446" si="150">SUM(O447)</f>
        <v>0</v>
      </c>
    </row>
    <row r="447" spans="1:15" x14ac:dyDescent="0.25">
      <c r="A447" s="6">
        <v>519</v>
      </c>
      <c r="B447" s="74" t="s">
        <v>249</v>
      </c>
      <c r="C447" s="321">
        <f>SUM(D447:O447)</f>
        <v>0</v>
      </c>
      <c r="D447" s="222">
        <v>0</v>
      </c>
      <c r="E447" s="222">
        <v>0</v>
      </c>
      <c r="F447" s="222">
        <v>0</v>
      </c>
      <c r="G447" s="222">
        <v>0</v>
      </c>
      <c r="H447" s="222">
        <v>0</v>
      </c>
      <c r="I447" s="222">
        <v>0</v>
      </c>
      <c r="J447" s="222">
        <v>0</v>
      </c>
      <c r="K447" s="222">
        <v>0</v>
      </c>
      <c r="L447" s="222">
        <v>0</v>
      </c>
      <c r="M447" s="222">
        <v>0</v>
      </c>
      <c r="N447" s="222">
        <v>0</v>
      </c>
      <c r="O447" s="222">
        <v>0</v>
      </c>
    </row>
    <row r="448" spans="1:15" ht="13.8" thickBot="1" x14ac:dyDescent="0.3">
      <c r="A448" s="6"/>
      <c r="B448" s="74"/>
      <c r="C448" s="24"/>
      <c r="D448" s="223"/>
      <c r="E448" s="223"/>
      <c r="F448" s="223"/>
      <c r="G448" s="223"/>
      <c r="H448" s="223"/>
      <c r="I448" s="223"/>
      <c r="J448" s="223"/>
      <c r="K448" s="223"/>
      <c r="L448" s="223"/>
      <c r="M448" s="223"/>
      <c r="N448" s="223"/>
      <c r="O448" s="223"/>
    </row>
    <row r="449" spans="1:15" ht="13.8" thickBot="1" x14ac:dyDescent="0.3">
      <c r="A449" s="2"/>
      <c r="B449" s="90" t="s">
        <v>250</v>
      </c>
      <c r="C449" s="3">
        <f>SUM(D449:O449)</f>
        <v>219238.06</v>
      </c>
      <c r="D449" s="3">
        <f t="shared" ref="D449:I449" si="151">SUM(D450:D462)</f>
        <v>0</v>
      </c>
      <c r="E449" s="3">
        <f t="shared" si="151"/>
        <v>0</v>
      </c>
      <c r="F449" s="3">
        <f t="shared" si="151"/>
        <v>0</v>
      </c>
      <c r="G449" s="3">
        <f t="shared" si="151"/>
        <v>0</v>
      </c>
      <c r="H449" s="3">
        <f t="shared" si="151"/>
        <v>0</v>
      </c>
      <c r="I449" s="256">
        <f t="shared" si="151"/>
        <v>0</v>
      </c>
      <c r="J449" s="245">
        <f t="shared" ref="J449:O449" si="152">SUM(J450:J462)</f>
        <v>0</v>
      </c>
      <c r="K449" s="245">
        <f t="shared" si="152"/>
        <v>0</v>
      </c>
      <c r="L449" s="245">
        <f t="shared" si="152"/>
        <v>0</v>
      </c>
      <c r="M449" s="245">
        <f>SUM(M450:M462)</f>
        <v>59848.81</v>
      </c>
      <c r="N449" s="245">
        <f>SUM(N450:N462)</f>
        <v>86630.58</v>
      </c>
      <c r="O449" s="245">
        <f t="shared" si="152"/>
        <v>72758.67</v>
      </c>
    </row>
    <row r="450" spans="1:15" x14ac:dyDescent="0.25">
      <c r="A450" s="53">
        <v>520</v>
      </c>
      <c r="B450" s="74" t="s">
        <v>251</v>
      </c>
      <c r="C450" s="322">
        <f>SUM(D450:O450)</f>
        <v>131601.54</v>
      </c>
      <c r="D450" s="222">
        <v>0</v>
      </c>
      <c r="E450" s="222">
        <v>0</v>
      </c>
      <c r="F450" s="222">
        <v>0</v>
      </c>
      <c r="G450" s="222">
        <v>0</v>
      </c>
      <c r="H450" s="222">
        <v>0</v>
      </c>
      <c r="I450" s="222">
        <v>0</v>
      </c>
      <c r="J450" s="222">
        <v>0</v>
      </c>
      <c r="K450" s="222">
        <v>0</v>
      </c>
      <c r="L450" s="222">
        <v>0</v>
      </c>
      <c r="M450" s="222">
        <v>31077.1</v>
      </c>
      <c r="N450" s="222">
        <v>56972.06</v>
      </c>
      <c r="O450" s="222">
        <v>43552.38</v>
      </c>
    </row>
    <row r="451" spans="1:15" x14ac:dyDescent="0.25">
      <c r="A451" s="6">
        <v>527</v>
      </c>
      <c r="B451" s="74" t="s">
        <v>252</v>
      </c>
      <c r="C451" s="323">
        <f t="shared" ref="C451:C460" si="153">SUM(D451:O451)</f>
        <v>8185.579999999999</v>
      </c>
      <c r="D451" s="239">
        <v>0</v>
      </c>
      <c r="E451" s="239">
        <v>0</v>
      </c>
      <c r="F451" s="239">
        <v>0</v>
      </c>
      <c r="G451" s="239">
        <v>0</v>
      </c>
      <c r="H451" s="239">
        <v>0</v>
      </c>
      <c r="I451" s="239">
        <v>0</v>
      </c>
      <c r="J451" s="239">
        <v>0</v>
      </c>
      <c r="K451" s="239">
        <v>0</v>
      </c>
      <c r="L451" s="239">
        <v>0</v>
      </c>
      <c r="M451" s="239">
        <v>2916.7</v>
      </c>
      <c r="N451" s="239">
        <v>2352.1799999999998</v>
      </c>
      <c r="O451" s="239">
        <v>2916.7</v>
      </c>
    </row>
    <row r="452" spans="1:15" x14ac:dyDescent="0.25">
      <c r="A452" s="6">
        <v>536</v>
      </c>
      <c r="B452" s="74" t="s">
        <v>617</v>
      </c>
      <c r="C452" s="323">
        <f t="shared" si="153"/>
        <v>0</v>
      </c>
      <c r="D452" s="239">
        <v>0</v>
      </c>
      <c r="E452" s="239">
        <v>0</v>
      </c>
      <c r="F452" s="239">
        <v>0</v>
      </c>
      <c r="G452" s="239">
        <v>0</v>
      </c>
      <c r="H452" s="239">
        <v>0</v>
      </c>
      <c r="I452" s="239">
        <v>0</v>
      </c>
      <c r="J452" s="239">
        <v>0</v>
      </c>
      <c r="K452" s="239">
        <v>0</v>
      </c>
      <c r="L452" s="239">
        <v>0</v>
      </c>
      <c r="M452" s="239"/>
      <c r="N452" s="239">
        <v>0</v>
      </c>
      <c r="O452" s="239">
        <v>0</v>
      </c>
    </row>
    <row r="453" spans="1:15" x14ac:dyDescent="0.25">
      <c r="A453" s="6">
        <v>563</v>
      </c>
      <c r="B453" s="74" t="s">
        <v>253</v>
      </c>
      <c r="C453" s="323">
        <f t="shared" si="153"/>
        <v>0</v>
      </c>
      <c r="D453" s="239">
        <v>0</v>
      </c>
      <c r="E453" s="239">
        <v>0</v>
      </c>
      <c r="F453" s="239">
        <v>0</v>
      </c>
      <c r="G453" s="239">
        <v>0</v>
      </c>
      <c r="H453" s="239">
        <v>0</v>
      </c>
      <c r="I453" s="239">
        <v>0</v>
      </c>
      <c r="J453" s="239">
        <v>0</v>
      </c>
      <c r="K453" s="239">
        <v>0</v>
      </c>
      <c r="L453" s="239">
        <v>0</v>
      </c>
      <c r="M453" s="239"/>
      <c r="N453" s="239">
        <v>0</v>
      </c>
      <c r="O453" s="239">
        <v>0</v>
      </c>
    </row>
    <row r="454" spans="1:15" x14ac:dyDescent="0.25">
      <c r="A454" s="6">
        <v>564</v>
      </c>
      <c r="B454" s="74" t="s">
        <v>254</v>
      </c>
      <c r="C454" s="323">
        <f>SUM(D454:O454)</f>
        <v>31293.84</v>
      </c>
      <c r="D454" s="239">
        <v>0</v>
      </c>
      <c r="E454" s="239">
        <v>0</v>
      </c>
      <c r="F454" s="239">
        <v>0</v>
      </c>
      <c r="G454" s="239">
        <v>0</v>
      </c>
      <c r="H454" s="239">
        <v>0</v>
      </c>
      <c r="I454" s="239">
        <v>0</v>
      </c>
      <c r="J454" s="239">
        <v>0</v>
      </c>
      <c r="K454" s="239">
        <v>0</v>
      </c>
      <c r="L454" s="239">
        <v>0</v>
      </c>
      <c r="M454" s="239"/>
      <c r="N454" s="239">
        <v>14569.48</v>
      </c>
      <c r="O454" s="239">
        <v>16724.36</v>
      </c>
    </row>
    <row r="455" spans="1:15" ht="13.2" hidden="1" customHeight="1" x14ac:dyDescent="0.25">
      <c r="A455" s="6">
        <v>645</v>
      </c>
      <c r="B455" s="74" t="s">
        <v>255</v>
      </c>
      <c r="C455" s="239">
        <f t="shared" si="153"/>
        <v>0</v>
      </c>
      <c r="D455" s="239">
        <v>0</v>
      </c>
      <c r="E455" s="239">
        <v>0</v>
      </c>
      <c r="F455" s="239">
        <v>0</v>
      </c>
      <c r="G455" s="239">
        <v>0</v>
      </c>
      <c r="H455" s="239">
        <v>0</v>
      </c>
      <c r="I455" s="239">
        <v>0</v>
      </c>
      <c r="J455" s="239">
        <v>0</v>
      </c>
      <c r="K455" s="239">
        <v>0</v>
      </c>
      <c r="L455" s="239">
        <v>0</v>
      </c>
      <c r="M455" s="239"/>
      <c r="N455" s="239">
        <v>0</v>
      </c>
      <c r="O455" s="239">
        <v>0</v>
      </c>
    </row>
    <row r="456" spans="1:15" ht="13.2" hidden="1" customHeight="1" x14ac:dyDescent="0.25">
      <c r="A456" s="6">
        <v>646</v>
      </c>
      <c r="B456" s="74" t="s">
        <v>256</v>
      </c>
      <c r="C456" s="239">
        <f t="shared" si="153"/>
        <v>0</v>
      </c>
      <c r="D456" s="239">
        <v>0</v>
      </c>
      <c r="E456" s="239">
        <v>0</v>
      </c>
      <c r="F456" s="239">
        <v>0</v>
      </c>
      <c r="G456" s="239">
        <v>0</v>
      </c>
      <c r="H456" s="239">
        <v>0</v>
      </c>
      <c r="I456" s="239">
        <v>0</v>
      </c>
      <c r="J456" s="239">
        <v>0</v>
      </c>
      <c r="K456" s="239">
        <v>0</v>
      </c>
      <c r="L456" s="239">
        <v>0</v>
      </c>
      <c r="M456" s="239"/>
      <c r="N456" s="239">
        <v>0</v>
      </c>
      <c r="O456" s="239">
        <v>0</v>
      </c>
    </row>
    <row r="457" spans="1:15" hidden="1" x14ac:dyDescent="0.25">
      <c r="A457" s="6">
        <v>647</v>
      </c>
      <c r="B457" s="74" t="s">
        <v>257</v>
      </c>
      <c r="C457" s="239">
        <f t="shared" ref="C457:C459" si="154">SUM(D457:O457)</f>
        <v>0</v>
      </c>
      <c r="D457" s="239">
        <v>0</v>
      </c>
      <c r="E457" s="239">
        <v>0</v>
      </c>
      <c r="F457" s="239">
        <v>0</v>
      </c>
      <c r="G457" s="239">
        <v>0</v>
      </c>
      <c r="H457" s="239">
        <v>0</v>
      </c>
      <c r="I457" s="239">
        <v>0</v>
      </c>
      <c r="J457" s="239">
        <v>0</v>
      </c>
      <c r="K457" s="239">
        <v>0</v>
      </c>
      <c r="L457" s="239">
        <v>0</v>
      </c>
      <c r="M457" s="239"/>
      <c r="N457" s="239">
        <v>0</v>
      </c>
      <c r="O457" s="239">
        <v>0</v>
      </c>
    </row>
    <row r="458" spans="1:15" hidden="1" x14ac:dyDescent="0.25">
      <c r="A458" s="6">
        <v>648</v>
      </c>
      <c r="B458" s="74" t="s">
        <v>185</v>
      </c>
      <c r="C458" s="239">
        <f t="shared" si="154"/>
        <v>0</v>
      </c>
      <c r="D458" s="239">
        <v>0</v>
      </c>
      <c r="E458" s="239">
        <v>0</v>
      </c>
      <c r="F458" s="239">
        <v>0</v>
      </c>
      <c r="G458" s="239">
        <v>0</v>
      </c>
      <c r="H458" s="239">
        <v>0</v>
      </c>
      <c r="I458" s="239">
        <v>0</v>
      </c>
      <c r="J458" s="239">
        <v>0</v>
      </c>
      <c r="K458" s="239">
        <v>0</v>
      </c>
      <c r="L458" s="239">
        <v>0</v>
      </c>
      <c r="M458" s="239"/>
      <c r="N458" s="239">
        <v>0</v>
      </c>
      <c r="O458" s="239">
        <v>0</v>
      </c>
    </row>
    <row r="459" spans="1:15" hidden="1" x14ac:dyDescent="0.25">
      <c r="A459" s="6">
        <v>649</v>
      </c>
      <c r="B459" s="74" t="s">
        <v>258</v>
      </c>
      <c r="C459" s="239">
        <f t="shared" si="154"/>
        <v>0</v>
      </c>
      <c r="D459" s="239">
        <v>0</v>
      </c>
      <c r="E459" s="239">
        <v>0</v>
      </c>
      <c r="F459" s="239">
        <v>0</v>
      </c>
      <c r="G459" s="239">
        <v>0</v>
      </c>
      <c r="H459" s="239">
        <v>0</v>
      </c>
      <c r="I459" s="239">
        <v>0</v>
      </c>
      <c r="J459" s="239">
        <v>0</v>
      </c>
      <c r="K459" s="239">
        <v>0</v>
      </c>
      <c r="L459" s="239">
        <v>0</v>
      </c>
      <c r="M459" s="239"/>
      <c r="N459" s="239">
        <v>0</v>
      </c>
      <c r="O459" s="239">
        <v>0</v>
      </c>
    </row>
    <row r="460" spans="1:15" x14ac:dyDescent="0.25">
      <c r="A460" s="6">
        <v>727</v>
      </c>
      <c r="B460" s="74" t="s">
        <v>543</v>
      </c>
      <c r="C460" s="312">
        <f t="shared" si="153"/>
        <v>34820.239999999998</v>
      </c>
      <c r="D460" s="239">
        <v>0</v>
      </c>
      <c r="E460" s="239">
        <v>0</v>
      </c>
      <c r="F460" s="239">
        <v>0</v>
      </c>
      <c r="G460" s="239">
        <v>0</v>
      </c>
      <c r="H460" s="239">
        <v>0</v>
      </c>
      <c r="I460" s="239">
        <v>0</v>
      </c>
      <c r="J460" s="239">
        <v>0</v>
      </c>
      <c r="K460" s="239">
        <v>0</v>
      </c>
      <c r="L460" s="239">
        <v>0</v>
      </c>
      <c r="M460" s="239">
        <v>16889.78</v>
      </c>
      <c r="N460" s="239">
        <v>8965.23</v>
      </c>
      <c r="O460" s="239">
        <v>8965.23</v>
      </c>
    </row>
    <row r="461" spans="1:15" x14ac:dyDescent="0.25">
      <c r="A461" s="6">
        <v>728</v>
      </c>
      <c r="B461" s="74" t="s">
        <v>544</v>
      </c>
      <c r="C461" s="312">
        <f>SUM(D461:O461)</f>
        <v>10165.23</v>
      </c>
      <c r="D461" s="239">
        <v>0</v>
      </c>
      <c r="E461" s="239">
        <v>0</v>
      </c>
      <c r="F461" s="239">
        <v>0</v>
      </c>
      <c r="G461" s="239">
        <v>0</v>
      </c>
      <c r="H461" s="239">
        <v>0</v>
      </c>
      <c r="I461" s="239">
        <v>0</v>
      </c>
      <c r="J461" s="239">
        <v>0</v>
      </c>
      <c r="K461" s="239">
        <v>0</v>
      </c>
      <c r="L461" s="239">
        <v>0</v>
      </c>
      <c r="M461" s="239">
        <v>8965.23</v>
      </c>
      <c r="N461" s="239">
        <v>600</v>
      </c>
      <c r="O461" s="239">
        <v>600</v>
      </c>
    </row>
    <row r="462" spans="1:15" ht="13.8" thickBot="1" x14ac:dyDescent="0.3">
      <c r="A462" s="6">
        <v>730</v>
      </c>
      <c r="B462" s="74" t="s">
        <v>548</v>
      </c>
      <c r="C462" s="324">
        <f>SUM(D462:O462)</f>
        <v>3171.63</v>
      </c>
      <c r="D462" s="223">
        <v>0</v>
      </c>
      <c r="E462" s="223">
        <v>0</v>
      </c>
      <c r="F462" s="223">
        <v>0</v>
      </c>
      <c r="G462" s="223">
        <v>0</v>
      </c>
      <c r="H462" s="223">
        <v>0</v>
      </c>
      <c r="I462" s="223">
        <v>0</v>
      </c>
      <c r="J462" s="223">
        <v>0</v>
      </c>
      <c r="K462" s="223">
        <v>0</v>
      </c>
      <c r="L462" s="223">
        <v>0</v>
      </c>
      <c r="M462" s="223"/>
      <c r="N462" s="223">
        <v>3171.63</v>
      </c>
      <c r="O462" s="223">
        <v>0</v>
      </c>
    </row>
    <row r="463" spans="1:15" ht="13.8" thickBot="1" x14ac:dyDescent="0.3">
      <c r="A463" s="2"/>
      <c r="B463" s="90" t="s">
        <v>259</v>
      </c>
      <c r="C463" s="362">
        <f t="shared" ref="C463" si="155">SUM(C464:C466)</f>
        <v>61378.409999999996</v>
      </c>
      <c r="D463" s="290">
        <f>SUM(D464:D466)</f>
        <v>0</v>
      </c>
      <c r="E463" s="261">
        <f>SUM(E464:E466)</f>
        <v>0</v>
      </c>
      <c r="F463" s="290">
        <f>SUM(F464:F466)</f>
        <v>0</v>
      </c>
      <c r="G463" s="261">
        <f>SUM(G464:G466)</f>
        <v>0</v>
      </c>
      <c r="H463" s="363">
        <f>SUM(H464:H466)</f>
        <v>0</v>
      </c>
      <c r="I463" s="261">
        <f t="shared" ref="I463:L463" si="156">SUM(I464:I466)</f>
        <v>0</v>
      </c>
      <c r="J463" s="265">
        <f t="shared" si="156"/>
        <v>0</v>
      </c>
      <c r="K463" s="261">
        <f t="shared" si="156"/>
        <v>0</v>
      </c>
      <c r="L463" s="262">
        <f t="shared" si="156"/>
        <v>0</v>
      </c>
      <c r="M463" s="263">
        <f>SUM(M464:M466)</f>
        <v>3720</v>
      </c>
      <c r="N463" s="264">
        <f>SUM(N464:N466)</f>
        <v>1976.75</v>
      </c>
      <c r="O463" s="265">
        <f t="shared" ref="O463" si="157">SUM(O464:O466)</f>
        <v>55681.659999999996</v>
      </c>
    </row>
    <row r="464" spans="1:15" x14ac:dyDescent="0.25">
      <c r="A464" s="53">
        <v>565</v>
      </c>
      <c r="B464" s="74" t="s">
        <v>260</v>
      </c>
      <c r="C464" s="322">
        <f>SUM(D464:O464)</f>
        <v>53243.81</v>
      </c>
      <c r="D464" s="220">
        <v>0</v>
      </c>
      <c r="E464" s="220">
        <v>0</v>
      </c>
      <c r="F464" s="220">
        <v>0</v>
      </c>
      <c r="G464" s="220">
        <v>0</v>
      </c>
      <c r="H464" s="220">
        <v>0</v>
      </c>
      <c r="I464" s="220">
        <v>0</v>
      </c>
      <c r="J464" s="220">
        <v>0</v>
      </c>
      <c r="K464" s="220">
        <v>0</v>
      </c>
      <c r="L464" s="220">
        <v>0</v>
      </c>
      <c r="M464" s="220">
        <v>3720</v>
      </c>
      <c r="N464" s="220">
        <v>1240</v>
      </c>
      <c r="O464" s="222">
        <v>48283.81</v>
      </c>
    </row>
    <row r="465" spans="1:77" x14ac:dyDescent="0.25">
      <c r="A465" s="53">
        <v>567</v>
      </c>
      <c r="B465" s="74" t="s">
        <v>541</v>
      </c>
      <c r="C465" s="323">
        <f>SUM(D465:O465)</f>
        <v>8134.6</v>
      </c>
      <c r="D465" s="241">
        <v>0</v>
      </c>
      <c r="E465" s="241">
        <v>0</v>
      </c>
      <c r="F465" s="241">
        <v>0</v>
      </c>
      <c r="G465" s="241">
        <v>0</v>
      </c>
      <c r="H465" s="241">
        <v>0</v>
      </c>
      <c r="I465" s="241">
        <v>0</v>
      </c>
      <c r="J465" s="241">
        <v>0</v>
      </c>
      <c r="K465" s="241">
        <v>0</v>
      </c>
      <c r="L465" s="241">
        <v>0</v>
      </c>
      <c r="M465" s="241">
        <v>0</v>
      </c>
      <c r="N465" s="241">
        <v>736.75</v>
      </c>
      <c r="O465" s="239">
        <v>7397.85</v>
      </c>
    </row>
    <row r="466" spans="1:77" ht="13.8" thickBot="1" x14ac:dyDescent="0.3">
      <c r="A466" s="6"/>
      <c r="B466" s="74"/>
      <c r="C466" s="223"/>
      <c r="D466" s="221"/>
      <c r="E466" s="221"/>
      <c r="F466" s="221"/>
      <c r="G466" s="221"/>
      <c r="H466" s="221"/>
      <c r="I466" s="221"/>
      <c r="J466" s="221"/>
      <c r="K466" s="221"/>
      <c r="L466" s="221"/>
      <c r="M466" s="221"/>
      <c r="N466" s="221"/>
      <c r="O466" s="223"/>
    </row>
    <row r="467" spans="1:77" ht="13.8" thickBot="1" x14ac:dyDescent="0.3">
      <c r="A467" s="2"/>
      <c r="B467" s="90" t="s">
        <v>261</v>
      </c>
      <c r="C467" s="157">
        <f t="shared" ref="C467" si="158">SUM(C468:C471)</f>
        <v>0</v>
      </c>
      <c r="D467" s="111">
        <f>SUM(D468:D471)</f>
        <v>0</v>
      </c>
      <c r="E467" s="36">
        <f>SUM(E468:E471)</f>
        <v>0</v>
      </c>
      <c r="F467" s="111">
        <f>SUM(F468:F471)</f>
        <v>0</v>
      </c>
      <c r="G467" s="36">
        <f>SUM(G468:G471)</f>
        <v>0</v>
      </c>
      <c r="H467" s="290">
        <f>SUM(H468:H471)</f>
        <v>0</v>
      </c>
      <c r="I467" s="38">
        <f t="shared" ref="I467" si="159">SUM(I468:I471)</f>
        <v>0</v>
      </c>
      <c r="J467" s="153">
        <f t="shared" ref="J467:O467" si="160">SUM(J468:J471)</f>
        <v>0</v>
      </c>
      <c r="K467" s="153">
        <f>SUM(K468:K471)</f>
        <v>0</v>
      </c>
      <c r="L467" s="155">
        <f>SUM(L468:L471)</f>
        <v>0</v>
      </c>
      <c r="M467" s="100">
        <f>SUM(M468:M471)</f>
        <v>0</v>
      </c>
      <c r="N467" s="156">
        <f>SUM(N468:N471)</f>
        <v>0</v>
      </c>
      <c r="O467" s="89">
        <f t="shared" si="160"/>
        <v>0</v>
      </c>
    </row>
    <row r="468" spans="1:77" x14ac:dyDescent="0.25">
      <c r="A468" s="53">
        <v>595</v>
      </c>
      <c r="B468" s="74" t="s">
        <v>262</v>
      </c>
      <c r="C468" s="322">
        <f>SUM(D468:O468)</f>
        <v>0</v>
      </c>
      <c r="D468" s="220">
        <v>0</v>
      </c>
      <c r="E468" s="220">
        <v>0</v>
      </c>
      <c r="F468" s="220">
        <v>0</v>
      </c>
      <c r="G468" s="220">
        <v>0</v>
      </c>
      <c r="H468" s="220">
        <v>0</v>
      </c>
      <c r="I468" s="220">
        <v>0</v>
      </c>
      <c r="J468" s="220">
        <v>0</v>
      </c>
      <c r="K468" s="220">
        <v>0</v>
      </c>
      <c r="L468" s="220">
        <v>0</v>
      </c>
      <c r="M468" s="220">
        <v>0</v>
      </c>
      <c r="N468" s="220">
        <v>0</v>
      </c>
      <c r="O468" s="222">
        <v>0</v>
      </c>
    </row>
    <row r="469" spans="1:77" hidden="1" x14ac:dyDescent="0.25">
      <c r="A469" s="53">
        <v>625</v>
      </c>
      <c r="B469" s="74" t="s">
        <v>189</v>
      </c>
      <c r="C469" s="239">
        <f>SUM(D469:O469)</f>
        <v>0</v>
      </c>
      <c r="D469" s="241">
        <v>0</v>
      </c>
      <c r="E469" s="239">
        <v>0</v>
      </c>
      <c r="F469" s="70">
        <v>0</v>
      </c>
      <c r="G469" s="239">
        <v>0</v>
      </c>
      <c r="H469" s="24">
        <v>0</v>
      </c>
      <c r="I469" s="239">
        <v>0</v>
      </c>
      <c r="J469" s="70">
        <v>0</v>
      </c>
      <c r="K469" s="239">
        <v>0</v>
      </c>
      <c r="L469" s="70">
        <v>0</v>
      </c>
      <c r="M469" s="239">
        <v>0</v>
      </c>
      <c r="N469" s="70">
        <v>0</v>
      </c>
      <c r="O469" s="239">
        <v>0</v>
      </c>
    </row>
    <row r="470" spans="1:77" hidden="1" x14ac:dyDescent="0.25">
      <c r="A470" s="53">
        <v>627</v>
      </c>
      <c r="B470" s="74" t="s">
        <v>263</v>
      </c>
      <c r="C470" s="239">
        <f>SUM(D470:O470)</f>
        <v>0</v>
      </c>
      <c r="D470" s="241">
        <v>0</v>
      </c>
      <c r="E470" s="239">
        <v>0</v>
      </c>
      <c r="F470" s="70">
        <v>0</v>
      </c>
      <c r="G470" s="239">
        <v>0</v>
      </c>
      <c r="H470" s="24">
        <v>0</v>
      </c>
      <c r="I470" s="239">
        <v>0</v>
      </c>
      <c r="J470" s="70">
        <v>0</v>
      </c>
      <c r="K470" s="239">
        <v>0</v>
      </c>
      <c r="L470" s="70">
        <v>0</v>
      </c>
      <c r="M470" s="239">
        <v>0</v>
      </c>
      <c r="N470" s="70">
        <v>0</v>
      </c>
      <c r="O470" s="239">
        <v>0</v>
      </c>
    </row>
    <row r="471" spans="1:77" ht="13.8" hidden="1" thickBot="1" x14ac:dyDescent="0.3">
      <c r="A471" s="6"/>
      <c r="B471" s="109"/>
      <c r="C471" s="223"/>
      <c r="D471" s="221"/>
      <c r="E471" s="223"/>
      <c r="F471" s="72"/>
      <c r="G471" s="223"/>
      <c r="H471" s="219"/>
      <c r="I471" s="223"/>
      <c r="J471" s="72"/>
      <c r="K471" s="223"/>
      <c r="L471" s="72"/>
      <c r="M471" s="223"/>
      <c r="N471" s="72"/>
      <c r="O471" s="223"/>
    </row>
    <row r="472" spans="1:77" ht="13.8" hidden="1" thickBot="1" x14ac:dyDescent="0.3">
      <c r="A472" s="2"/>
      <c r="B472" s="90" t="s">
        <v>264</v>
      </c>
      <c r="C472" s="157">
        <f>SUM(C473:C474)</f>
        <v>0</v>
      </c>
      <c r="D472" s="111">
        <f>SUM(D473:D473)</f>
        <v>0</v>
      </c>
      <c r="E472" s="345">
        <f>SUM(E473:E473)</f>
        <v>0</v>
      </c>
      <c r="F472" s="154">
        <f>SUM(F473:F473)</f>
        <v>0</v>
      </c>
      <c r="G472" s="154">
        <f>SUM(G473:G473)</f>
        <v>0</v>
      </c>
      <c r="H472" s="269">
        <f t="shared" ref="H472:I472" si="161">SUM(H473:H473)</f>
        <v>0</v>
      </c>
      <c r="I472" s="38">
        <f t="shared" si="161"/>
        <v>0</v>
      </c>
      <c r="J472" s="153">
        <f t="shared" ref="J472" si="162">SUM(J473:J473)</f>
        <v>0</v>
      </c>
      <c r="K472" s="153">
        <f>SUM(K473:K473)</f>
        <v>0</v>
      </c>
      <c r="L472" s="155">
        <f>SUM(L473:L474)</f>
        <v>0</v>
      </c>
      <c r="M472" s="100">
        <f>SUM(M473:M473)</f>
        <v>0</v>
      </c>
      <c r="N472" s="156">
        <f>SUM(N473:N473)</f>
        <v>0</v>
      </c>
      <c r="O472" s="89">
        <f t="shared" ref="O472" si="163">SUM(O473:O473)</f>
        <v>0</v>
      </c>
    </row>
    <row r="473" spans="1:77" hidden="1" x14ac:dyDescent="0.25">
      <c r="A473" s="53">
        <v>626</v>
      </c>
      <c r="B473" s="74" t="s">
        <v>265</v>
      </c>
      <c r="C473" s="222">
        <f>SUM(D473:O473)</f>
        <v>0</v>
      </c>
      <c r="D473" s="220">
        <v>0</v>
      </c>
      <c r="E473" s="222">
        <v>0</v>
      </c>
      <c r="F473" s="80">
        <v>0</v>
      </c>
      <c r="G473" s="222">
        <v>0</v>
      </c>
      <c r="H473" s="218">
        <v>0</v>
      </c>
      <c r="I473" s="222">
        <v>0</v>
      </c>
      <c r="J473" s="80">
        <v>0</v>
      </c>
      <c r="K473" s="222">
        <v>0</v>
      </c>
      <c r="L473" s="80">
        <v>0</v>
      </c>
      <c r="M473" s="222">
        <v>0</v>
      </c>
      <c r="N473" s="80">
        <v>0</v>
      </c>
      <c r="O473" s="222">
        <v>0</v>
      </c>
    </row>
    <row r="474" spans="1:77" ht="13.8" hidden="1" thickBot="1" x14ac:dyDescent="0.3">
      <c r="A474" s="53"/>
      <c r="B474" s="74"/>
      <c r="C474" s="223"/>
      <c r="D474" s="221"/>
      <c r="E474" s="223"/>
      <c r="F474" s="72"/>
      <c r="G474" s="223"/>
      <c r="H474" s="219"/>
      <c r="I474" s="223"/>
      <c r="J474" s="72"/>
      <c r="K474" s="223"/>
      <c r="L474" s="72"/>
      <c r="M474" s="223"/>
      <c r="N474" s="72"/>
      <c r="O474" s="223"/>
    </row>
    <row r="475" spans="1:77" ht="13.8" hidden="1" thickBot="1" x14ac:dyDescent="0.3">
      <c r="A475" s="2"/>
      <c r="B475" s="90" t="s">
        <v>266</v>
      </c>
      <c r="C475" s="157">
        <f>SUM(C476:C478)</f>
        <v>0</v>
      </c>
      <c r="D475" s="272">
        <f>SUM(D476:D478)</f>
        <v>0</v>
      </c>
      <c r="E475" s="88">
        <f>SUM(E476:E478)</f>
        <v>0</v>
      </c>
      <c r="F475" s="105">
        <f>SUM(F476:F478)</f>
        <v>0</v>
      </c>
      <c r="G475" s="105">
        <f>SUM(G476:G478)</f>
        <v>0</v>
      </c>
      <c r="H475" s="272">
        <f>SUM(H476:H477)</f>
        <v>0</v>
      </c>
      <c r="I475" s="38">
        <f>SUM(I476:I477)</f>
        <v>0</v>
      </c>
      <c r="J475" s="153">
        <f t="shared" ref="J475:O475" si="164">SUM(J476:J477)</f>
        <v>0</v>
      </c>
      <c r="K475" s="153">
        <f>SUM(K476:K477)</f>
        <v>0</v>
      </c>
      <c r="L475" s="155">
        <f>SUM(L476:L478)</f>
        <v>0</v>
      </c>
      <c r="M475" s="100">
        <f>SUM(M476:M477)</f>
        <v>0</v>
      </c>
      <c r="N475" s="153">
        <f t="shared" si="164"/>
        <v>0</v>
      </c>
      <c r="O475" s="89">
        <f t="shared" si="164"/>
        <v>0</v>
      </c>
    </row>
    <row r="476" spans="1:77" hidden="1" x14ac:dyDescent="0.25">
      <c r="A476" s="260">
        <v>651</v>
      </c>
      <c r="B476" s="214" t="s">
        <v>186</v>
      </c>
      <c r="C476" s="222">
        <f>SUM(D476:O476)</f>
        <v>0</v>
      </c>
      <c r="D476" s="218">
        <v>0</v>
      </c>
      <c r="E476" s="222">
        <v>0</v>
      </c>
      <c r="F476" s="80">
        <v>0</v>
      </c>
      <c r="G476" s="222">
        <v>0</v>
      </c>
      <c r="H476" s="218">
        <v>0</v>
      </c>
      <c r="I476" s="222">
        <v>0</v>
      </c>
      <c r="J476" s="80">
        <v>0</v>
      </c>
      <c r="K476" s="222">
        <v>0</v>
      </c>
      <c r="L476" s="80">
        <v>0</v>
      </c>
      <c r="M476" s="222">
        <v>0</v>
      </c>
      <c r="N476" s="80">
        <v>0</v>
      </c>
      <c r="O476" s="222">
        <v>0</v>
      </c>
    </row>
    <row r="477" spans="1:77" hidden="1" x14ac:dyDescent="0.25">
      <c r="A477" s="53">
        <v>652</v>
      </c>
      <c r="B477" s="27" t="s">
        <v>267</v>
      </c>
      <c r="C477" s="239">
        <f>SUM(D477:O477)</f>
        <v>0</v>
      </c>
      <c r="D477" s="24">
        <v>0</v>
      </c>
      <c r="E477" s="239">
        <v>0</v>
      </c>
      <c r="F477" s="70">
        <v>0</v>
      </c>
      <c r="G477" s="239">
        <v>0</v>
      </c>
      <c r="H477" s="24">
        <v>0</v>
      </c>
      <c r="I477" s="239">
        <v>0</v>
      </c>
      <c r="J477" s="70">
        <v>0</v>
      </c>
      <c r="K477" s="239">
        <v>0</v>
      </c>
      <c r="L477" s="70">
        <v>0</v>
      </c>
      <c r="M477" s="239">
        <v>0</v>
      </c>
      <c r="N477" s="70">
        <v>0</v>
      </c>
      <c r="O477" s="239">
        <v>0</v>
      </c>
    </row>
    <row r="478" spans="1:77" ht="13.8" thickBot="1" x14ac:dyDescent="0.3">
      <c r="A478" s="215"/>
      <c r="B478" s="216"/>
      <c r="C478" s="223"/>
      <c r="D478" s="219"/>
      <c r="E478" s="223"/>
      <c r="F478" s="72"/>
      <c r="G478" s="223"/>
      <c r="H478" s="219"/>
      <c r="I478" s="223"/>
      <c r="J478" s="72"/>
      <c r="K478" s="223"/>
      <c r="L478" s="72"/>
      <c r="M478" s="223"/>
      <c r="N478" s="72"/>
      <c r="O478" s="223"/>
    </row>
    <row r="479" spans="1:77" ht="13.8" thickBot="1" x14ac:dyDescent="0.3">
      <c r="A479" s="2"/>
      <c r="B479" s="249" t="s">
        <v>481</v>
      </c>
      <c r="C479" s="35">
        <f>SUM(D479:O479)</f>
        <v>44287.45</v>
      </c>
      <c r="D479" s="111">
        <f>SUM(D480:D480)</f>
        <v>0</v>
      </c>
      <c r="E479" s="36">
        <f>SUM(E480:E480)</f>
        <v>0</v>
      </c>
      <c r="F479" s="23">
        <f>SUM(F480:F480)</f>
        <v>0</v>
      </c>
      <c r="G479" s="23">
        <f>SUM(G480)</f>
        <v>0</v>
      </c>
      <c r="H479" s="111">
        <f>SUM(H480)</f>
        <v>0</v>
      </c>
      <c r="I479" s="36">
        <f>SUM(I480)</f>
        <v>0</v>
      </c>
      <c r="J479" s="111">
        <f>SUM(J480)</f>
        <v>0</v>
      </c>
      <c r="K479" s="36">
        <f>SUM(K480:K481)</f>
        <v>0</v>
      </c>
      <c r="L479" s="111">
        <f>SUM(L480:L481)</f>
        <v>0</v>
      </c>
      <c r="M479" s="36">
        <f>SUM(M480)</f>
        <v>18982.53</v>
      </c>
      <c r="N479" s="23">
        <f>SUM(N480)</f>
        <v>12982.53</v>
      </c>
      <c r="O479" s="36">
        <f>SUM(O480)</f>
        <v>12322.39</v>
      </c>
    </row>
    <row r="480" spans="1:77" x14ac:dyDescent="0.25">
      <c r="A480" s="14">
        <v>698</v>
      </c>
      <c r="B480" s="214" t="s">
        <v>464</v>
      </c>
      <c r="C480" s="222">
        <f>SUM(D480:O480)</f>
        <v>44287.45</v>
      </c>
      <c r="D480" s="218">
        <v>0</v>
      </c>
      <c r="E480" s="220">
        <v>0</v>
      </c>
      <c r="F480" s="220">
        <v>0</v>
      </c>
      <c r="G480" s="220">
        <v>0</v>
      </c>
      <c r="H480" s="220">
        <v>0</v>
      </c>
      <c r="I480" s="220">
        <v>0</v>
      </c>
      <c r="J480" s="220">
        <v>0</v>
      </c>
      <c r="K480" s="220">
        <v>0</v>
      </c>
      <c r="L480" s="220">
        <v>0</v>
      </c>
      <c r="M480" s="220">
        <v>18982.53</v>
      </c>
      <c r="N480" s="222">
        <v>12982.53</v>
      </c>
      <c r="O480" s="80">
        <v>12322.39</v>
      </c>
      <c r="V480" s="4"/>
      <c r="W480" s="4"/>
      <c r="X480" s="4"/>
      <c r="Y480" s="4"/>
      <c r="Z480" s="4"/>
      <c r="AA480" s="4"/>
      <c r="AB480" s="4"/>
      <c r="AC480" s="4"/>
      <c r="AD480" s="4"/>
      <c r="AE480" s="4"/>
      <c r="AF480" s="4"/>
      <c r="AG480" s="4"/>
      <c r="AH480" s="4"/>
      <c r="AI480" s="4"/>
      <c r="AJ480" s="4"/>
      <c r="AK480" s="4"/>
      <c r="AL480" s="4"/>
      <c r="AM480" s="4"/>
      <c r="AN480" s="4"/>
      <c r="AO480" s="4"/>
      <c r="AP480" s="4"/>
      <c r="AQ480" s="4"/>
      <c r="AR480" s="4"/>
      <c r="AS480" s="4"/>
      <c r="AT480" s="4"/>
      <c r="AU480" s="4"/>
      <c r="AV480" s="4"/>
      <c r="AW480" s="4"/>
      <c r="AX480" s="4"/>
      <c r="AY480" s="4"/>
      <c r="AZ480" s="4"/>
      <c r="BA480" s="4"/>
      <c r="BB480" s="4"/>
      <c r="BC480" s="4"/>
      <c r="BD480" s="4"/>
      <c r="BE480" s="4"/>
      <c r="BF480" s="4"/>
      <c r="BG480" s="4"/>
      <c r="BH480" s="4"/>
      <c r="BI480" s="4"/>
      <c r="BJ480" s="4"/>
      <c r="BK480" s="4"/>
      <c r="BL480" s="4"/>
      <c r="BM480" s="4"/>
      <c r="BN480" s="4"/>
      <c r="BO480" s="4"/>
      <c r="BP480" s="4"/>
      <c r="BQ480" s="4"/>
      <c r="BR480" s="4"/>
      <c r="BS480" s="4"/>
      <c r="BT480" s="4"/>
      <c r="BU480" s="4"/>
      <c r="BV480" s="4"/>
      <c r="BW480" s="4"/>
      <c r="BX480" s="4"/>
      <c r="BY480" s="4"/>
    </row>
    <row r="481" spans="1:15" ht="13.8" thickBot="1" x14ac:dyDescent="0.3">
      <c r="A481" s="215"/>
      <c r="B481" s="216"/>
      <c r="C481" s="223"/>
      <c r="D481" s="219"/>
      <c r="E481" s="221"/>
      <c r="F481" s="221"/>
      <c r="G481" s="223"/>
      <c r="H481" s="223"/>
      <c r="I481" s="223"/>
      <c r="J481" s="223"/>
      <c r="K481" s="223"/>
      <c r="L481" s="223"/>
      <c r="M481" s="221"/>
      <c r="N481" s="223"/>
      <c r="O481" s="72"/>
    </row>
    <row r="482" spans="1:15" ht="13.8" thickBot="1" x14ac:dyDescent="0.3">
      <c r="A482" s="2"/>
      <c r="B482" s="249" t="s">
        <v>268</v>
      </c>
      <c r="C482" s="35">
        <f t="shared" ref="C482:H482" si="165">SUM(C483:C495)</f>
        <v>0</v>
      </c>
      <c r="D482" s="105">
        <f>SUM(D483:D495)</f>
        <v>0</v>
      </c>
      <c r="E482" s="105">
        <f>SUM(E483:E495)</f>
        <v>0</v>
      </c>
      <c r="F482" s="105">
        <f t="shared" si="165"/>
        <v>0</v>
      </c>
      <c r="G482" s="105">
        <f t="shared" si="165"/>
        <v>0</v>
      </c>
      <c r="H482" s="272">
        <f t="shared" si="165"/>
        <v>0</v>
      </c>
      <c r="I482" s="35">
        <f t="shared" ref="I482:L482" si="166">SUM(I483:I495)</f>
        <v>0</v>
      </c>
      <c r="J482" s="105">
        <f t="shared" si="166"/>
        <v>0</v>
      </c>
      <c r="K482" s="153">
        <f t="shared" si="166"/>
        <v>0</v>
      </c>
      <c r="L482" s="155">
        <f t="shared" si="166"/>
        <v>0</v>
      </c>
      <c r="M482" s="100">
        <f>SUM(M483:M495)</f>
        <v>0</v>
      </c>
      <c r="N482" s="153">
        <f>SUM(N483:N495)</f>
        <v>0</v>
      </c>
      <c r="O482" s="89">
        <f t="shared" ref="O482" si="167">SUM(O483:O495)</f>
        <v>0</v>
      </c>
    </row>
    <row r="483" spans="1:15" ht="13.95" hidden="1" customHeight="1" x14ac:dyDescent="0.25">
      <c r="A483" s="260">
        <v>631</v>
      </c>
      <c r="B483" s="214" t="s">
        <v>181</v>
      </c>
      <c r="C483" s="222">
        <f>SUM(D483:O483)</f>
        <v>0</v>
      </c>
      <c r="D483" s="218">
        <v>0</v>
      </c>
      <c r="E483" s="222">
        <v>0</v>
      </c>
      <c r="F483" s="220">
        <v>0</v>
      </c>
      <c r="G483" s="222">
        <v>0</v>
      </c>
      <c r="H483" s="220">
        <v>0</v>
      </c>
      <c r="I483" s="222">
        <v>0</v>
      </c>
      <c r="J483" s="220">
        <v>0</v>
      </c>
      <c r="K483" s="222">
        <v>0</v>
      </c>
      <c r="L483" s="220">
        <v>0</v>
      </c>
      <c r="M483" s="222">
        <v>0</v>
      </c>
      <c r="N483" s="220">
        <v>0</v>
      </c>
      <c r="O483" s="222">
        <v>0</v>
      </c>
    </row>
    <row r="484" spans="1:15" ht="13.95" hidden="1" customHeight="1" x14ac:dyDescent="0.25">
      <c r="A484" s="6">
        <v>632</v>
      </c>
      <c r="B484" s="27" t="s">
        <v>269</v>
      </c>
      <c r="C484" s="239">
        <f t="shared" ref="C484:C494" si="168">SUM(D484:O484)</f>
        <v>0</v>
      </c>
      <c r="D484" s="24">
        <v>0</v>
      </c>
      <c r="E484" s="239">
        <v>0</v>
      </c>
      <c r="F484" s="239">
        <v>0</v>
      </c>
      <c r="G484" s="239">
        <v>0</v>
      </c>
      <c r="H484" s="239">
        <v>0</v>
      </c>
      <c r="I484" s="239">
        <v>0</v>
      </c>
      <c r="J484" s="241">
        <v>0</v>
      </c>
      <c r="K484" s="239">
        <v>0</v>
      </c>
      <c r="L484" s="241">
        <v>0</v>
      </c>
      <c r="M484" s="239">
        <v>0</v>
      </c>
      <c r="N484" s="241">
        <v>0</v>
      </c>
      <c r="O484" s="239">
        <v>0</v>
      </c>
    </row>
    <row r="485" spans="1:15" ht="13.95" hidden="1" customHeight="1" x14ac:dyDescent="0.25">
      <c r="A485" s="6">
        <v>633</v>
      </c>
      <c r="B485" s="27" t="s">
        <v>270</v>
      </c>
      <c r="C485" s="239">
        <f t="shared" si="168"/>
        <v>0</v>
      </c>
      <c r="D485" s="24">
        <v>0</v>
      </c>
      <c r="E485" s="239">
        <v>0</v>
      </c>
      <c r="F485" s="239">
        <v>0</v>
      </c>
      <c r="G485" s="239">
        <v>0</v>
      </c>
      <c r="H485" s="239">
        <v>0</v>
      </c>
      <c r="I485" s="239">
        <v>0</v>
      </c>
      <c r="J485" s="241">
        <v>0</v>
      </c>
      <c r="K485" s="239">
        <v>0</v>
      </c>
      <c r="L485" s="241">
        <v>0</v>
      </c>
      <c r="M485" s="239">
        <v>0</v>
      </c>
      <c r="N485" s="241">
        <v>0</v>
      </c>
      <c r="O485" s="239">
        <v>0</v>
      </c>
    </row>
    <row r="486" spans="1:15" hidden="1" x14ac:dyDescent="0.25">
      <c r="A486" s="6">
        <v>634</v>
      </c>
      <c r="B486" s="27" t="s">
        <v>271</v>
      </c>
      <c r="C486" s="239">
        <f t="shared" si="168"/>
        <v>0</v>
      </c>
      <c r="D486" s="24">
        <v>0</v>
      </c>
      <c r="E486" s="239">
        <v>0</v>
      </c>
      <c r="F486" s="239">
        <v>0</v>
      </c>
      <c r="G486" s="239">
        <v>0</v>
      </c>
      <c r="H486" s="239">
        <v>0</v>
      </c>
      <c r="I486" s="239">
        <v>0</v>
      </c>
      <c r="J486" s="241">
        <v>0</v>
      </c>
      <c r="K486" s="239">
        <v>0</v>
      </c>
      <c r="L486" s="241">
        <v>0</v>
      </c>
      <c r="M486" s="239">
        <v>0</v>
      </c>
      <c r="N486" s="241">
        <v>0</v>
      </c>
      <c r="O486" s="239">
        <v>0</v>
      </c>
    </row>
    <row r="487" spans="1:15" x14ac:dyDescent="0.25">
      <c r="A487" s="6">
        <v>635</v>
      </c>
      <c r="B487" s="27" t="s">
        <v>272</v>
      </c>
      <c r="C487" s="325">
        <f>SUM(D487:O487)</f>
        <v>0</v>
      </c>
      <c r="D487" s="222">
        <v>0</v>
      </c>
      <c r="E487" s="222">
        <v>0</v>
      </c>
      <c r="F487" s="222">
        <v>0</v>
      </c>
      <c r="G487" s="222">
        <v>0</v>
      </c>
      <c r="H487" s="222">
        <v>0</v>
      </c>
      <c r="I487" s="222">
        <v>0</v>
      </c>
      <c r="J487" s="222">
        <v>0</v>
      </c>
      <c r="K487" s="222">
        <v>0</v>
      </c>
      <c r="L487" s="222">
        <v>0</v>
      </c>
      <c r="M487" s="222">
        <v>0</v>
      </c>
      <c r="N487" s="222">
        <v>0</v>
      </c>
      <c r="O487" s="222">
        <v>0</v>
      </c>
    </row>
    <row r="488" spans="1:15" x14ac:dyDescent="0.25">
      <c r="A488" s="6">
        <v>636</v>
      </c>
      <c r="B488" s="27" t="s">
        <v>273</v>
      </c>
      <c r="C488" s="312">
        <f t="shared" si="168"/>
        <v>0</v>
      </c>
      <c r="D488" s="239">
        <v>0</v>
      </c>
      <c r="E488" s="239">
        <v>0</v>
      </c>
      <c r="F488" s="239">
        <v>0</v>
      </c>
      <c r="G488" s="239">
        <v>0</v>
      </c>
      <c r="H488" s="239">
        <v>0</v>
      </c>
      <c r="I488" s="239">
        <v>0</v>
      </c>
      <c r="J488" s="239">
        <v>0</v>
      </c>
      <c r="K488" s="239">
        <v>0</v>
      </c>
      <c r="L488" s="239">
        <v>0</v>
      </c>
      <c r="M488" s="239">
        <v>0</v>
      </c>
      <c r="N488" s="239">
        <v>0</v>
      </c>
      <c r="O488" s="239">
        <v>0</v>
      </c>
    </row>
    <row r="489" spans="1:15" x14ac:dyDescent="0.25">
      <c r="A489" s="6">
        <v>662</v>
      </c>
      <c r="B489" s="27" t="s">
        <v>418</v>
      </c>
      <c r="C489" s="325">
        <f t="shared" si="168"/>
        <v>0</v>
      </c>
      <c r="D489" s="239">
        <v>0</v>
      </c>
      <c r="E489" s="239">
        <v>0</v>
      </c>
      <c r="F489" s="239">
        <v>0</v>
      </c>
      <c r="G489" s="239">
        <v>0</v>
      </c>
      <c r="H489" s="239">
        <v>0</v>
      </c>
      <c r="I489" s="239">
        <v>0</v>
      </c>
      <c r="J489" s="239">
        <v>0</v>
      </c>
      <c r="K489" s="239">
        <v>0</v>
      </c>
      <c r="L489" s="239">
        <v>0</v>
      </c>
      <c r="M489" s="239">
        <v>0</v>
      </c>
      <c r="N489" s="239">
        <v>0</v>
      </c>
      <c r="O489" s="239">
        <v>0</v>
      </c>
    </row>
    <row r="490" spans="1:15" hidden="1" x14ac:dyDescent="0.25">
      <c r="A490" s="6">
        <v>677</v>
      </c>
      <c r="B490" s="27" t="s">
        <v>439</v>
      </c>
      <c r="C490" s="325">
        <f t="shared" si="168"/>
        <v>0</v>
      </c>
      <c r="D490" s="239">
        <v>0</v>
      </c>
      <c r="E490" s="239">
        <v>0</v>
      </c>
      <c r="F490" s="239">
        <v>0</v>
      </c>
      <c r="G490" s="239">
        <v>0</v>
      </c>
      <c r="H490" s="239">
        <v>0</v>
      </c>
      <c r="I490" s="239">
        <v>0</v>
      </c>
      <c r="J490" s="239">
        <v>0</v>
      </c>
      <c r="K490" s="239">
        <v>0</v>
      </c>
      <c r="L490" s="239">
        <v>0</v>
      </c>
      <c r="M490" s="239">
        <v>0</v>
      </c>
      <c r="N490" s="239">
        <v>0</v>
      </c>
      <c r="O490" s="239">
        <v>0</v>
      </c>
    </row>
    <row r="491" spans="1:15" hidden="1" x14ac:dyDescent="0.25">
      <c r="A491" s="6">
        <v>684</v>
      </c>
      <c r="B491" s="27" t="s">
        <v>311</v>
      </c>
      <c r="C491" s="325">
        <f t="shared" si="168"/>
        <v>0</v>
      </c>
      <c r="D491" s="239">
        <v>0</v>
      </c>
      <c r="E491" s="239">
        <v>0</v>
      </c>
      <c r="F491" s="239">
        <v>0</v>
      </c>
      <c r="G491" s="239">
        <v>0</v>
      </c>
      <c r="H491" s="239">
        <v>0</v>
      </c>
      <c r="I491" s="239">
        <v>0</v>
      </c>
      <c r="J491" s="239">
        <v>0</v>
      </c>
      <c r="K491" s="239">
        <v>0</v>
      </c>
      <c r="L491" s="239">
        <v>0</v>
      </c>
      <c r="M491" s="239">
        <v>0</v>
      </c>
      <c r="N491" s="239">
        <v>0</v>
      </c>
      <c r="O491" s="239">
        <v>0</v>
      </c>
    </row>
    <row r="492" spans="1:15" x14ac:dyDescent="0.25">
      <c r="A492" s="6">
        <v>689</v>
      </c>
      <c r="B492" s="27" t="s">
        <v>313</v>
      </c>
      <c r="C492" s="325">
        <f>SUM(E492:O492)</f>
        <v>0</v>
      </c>
      <c r="D492" s="239">
        <v>0</v>
      </c>
      <c r="E492" s="239">
        <v>0</v>
      </c>
      <c r="F492" s="239">
        <v>0</v>
      </c>
      <c r="G492" s="239">
        <v>0</v>
      </c>
      <c r="H492" s="239">
        <v>0</v>
      </c>
      <c r="I492" s="239">
        <v>0</v>
      </c>
      <c r="J492" s="239">
        <v>0</v>
      </c>
      <c r="K492" s="239">
        <v>0</v>
      </c>
      <c r="L492" s="239">
        <v>0</v>
      </c>
      <c r="M492" s="239">
        <v>0</v>
      </c>
      <c r="N492" s="239">
        <v>0</v>
      </c>
      <c r="O492" s="239">
        <v>0</v>
      </c>
    </row>
    <row r="493" spans="1:15" x14ac:dyDescent="0.25">
      <c r="A493" s="6">
        <v>735</v>
      </c>
      <c r="B493" s="27" t="s">
        <v>563</v>
      </c>
      <c r="C493" s="325">
        <f t="shared" si="168"/>
        <v>0</v>
      </c>
      <c r="D493" s="239">
        <v>0</v>
      </c>
      <c r="E493" s="239">
        <v>0</v>
      </c>
      <c r="F493" s="239">
        <v>0</v>
      </c>
      <c r="G493" s="239">
        <v>0</v>
      </c>
      <c r="H493" s="239">
        <v>0</v>
      </c>
      <c r="I493" s="239">
        <v>0</v>
      </c>
      <c r="J493" s="239">
        <v>0</v>
      </c>
      <c r="K493" s="239">
        <v>0</v>
      </c>
      <c r="L493" s="239">
        <v>0</v>
      </c>
      <c r="M493" s="239">
        <v>0</v>
      </c>
      <c r="N493" s="239">
        <v>0</v>
      </c>
      <c r="O493" s="239">
        <v>0</v>
      </c>
    </row>
    <row r="494" spans="1:15" x14ac:dyDescent="0.25">
      <c r="A494" s="6">
        <v>737</v>
      </c>
      <c r="B494" s="27" t="s">
        <v>557</v>
      </c>
      <c r="C494" s="330">
        <f t="shared" si="168"/>
        <v>0</v>
      </c>
      <c r="D494" s="239">
        <v>0</v>
      </c>
      <c r="E494" s="239">
        <v>0</v>
      </c>
      <c r="F494" s="239">
        <v>0</v>
      </c>
      <c r="G494" s="239">
        <v>0</v>
      </c>
      <c r="H494" s="239">
        <v>0</v>
      </c>
      <c r="I494" s="239">
        <v>0</v>
      </c>
      <c r="J494" s="239">
        <v>0</v>
      </c>
      <c r="K494" s="239">
        <v>0</v>
      </c>
      <c r="L494" s="239">
        <v>0</v>
      </c>
      <c r="M494" s="239">
        <v>0</v>
      </c>
      <c r="N494" s="239">
        <v>0</v>
      </c>
      <c r="O494" s="239">
        <v>0</v>
      </c>
    </row>
    <row r="495" spans="1:15" ht="13.8" thickBot="1" x14ac:dyDescent="0.3">
      <c r="A495" s="15"/>
      <c r="B495" s="216"/>
      <c r="C495" s="223"/>
      <c r="D495" s="223"/>
      <c r="E495" s="223"/>
      <c r="F495" s="223"/>
      <c r="G495" s="223"/>
      <c r="H495" s="223"/>
      <c r="I495" s="223"/>
      <c r="J495" s="223"/>
      <c r="K495" s="223"/>
      <c r="L495" s="223"/>
      <c r="M495" s="223"/>
      <c r="N495" s="223"/>
      <c r="O495" s="223"/>
    </row>
    <row r="496" spans="1:15" ht="13.8" thickBot="1" x14ac:dyDescent="0.3">
      <c r="A496" s="173"/>
      <c r="B496" s="246" t="s">
        <v>274</v>
      </c>
      <c r="C496" s="201">
        <f>SUM(D496:O496)</f>
        <v>105638</v>
      </c>
      <c r="D496" s="170">
        <f>SUM(D497:D537)</f>
        <v>0</v>
      </c>
      <c r="E496" s="170">
        <f>SUM(E497:E537)</f>
        <v>0</v>
      </c>
      <c r="F496" s="170">
        <f>SUM(F497:F536)</f>
        <v>0</v>
      </c>
      <c r="G496" s="170">
        <f>SUM(G497:G537)</f>
        <v>0</v>
      </c>
      <c r="H496" s="170">
        <f>SUM(H497:H536)</f>
        <v>0</v>
      </c>
      <c r="I496" s="170">
        <f>SUM(I497:I537)</f>
        <v>0</v>
      </c>
      <c r="J496" s="171">
        <f>SUM(J497:J537)</f>
        <v>0</v>
      </c>
      <c r="K496" s="171">
        <f>SUM(K497:K537)</f>
        <v>0</v>
      </c>
      <c r="L496" s="171">
        <f>SUM(L497:L537)</f>
        <v>0</v>
      </c>
      <c r="M496" s="364">
        <f>SUM(M497:M537)</f>
        <v>23519.780000000002</v>
      </c>
      <c r="N496" s="364">
        <f>SUM(N497:N536)</f>
        <v>57025.479999999996</v>
      </c>
      <c r="O496" s="364">
        <f>SUM(O497:O536)</f>
        <v>25092.739999999998</v>
      </c>
    </row>
    <row r="497" spans="1:15" x14ac:dyDescent="0.25">
      <c r="A497" s="14">
        <v>114</v>
      </c>
      <c r="B497" s="214" t="s">
        <v>275</v>
      </c>
      <c r="C497" s="317">
        <f t="shared" ref="C497:C543" si="169">SUM(D497:O497)</f>
        <v>0</v>
      </c>
      <c r="D497" s="80">
        <v>0</v>
      </c>
      <c r="E497" s="222">
        <v>0</v>
      </c>
      <c r="F497" s="222">
        <v>0</v>
      </c>
      <c r="G497" s="222">
        <v>0</v>
      </c>
      <c r="H497" s="222">
        <v>0</v>
      </c>
      <c r="I497" s="222">
        <v>0</v>
      </c>
      <c r="J497" s="222">
        <v>0</v>
      </c>
      <c r="K497" s="222">
        <v>0</v>
      </c>
      <c r="L497" s="220">
        <v>0</v>
      </c>
      <c r="M497" s="222">
        <v>0</v>
      </c>
      <c r="N497" s="80">
        <v>0</v>
      </c>
      <c r="O497" s="80">
        <v>0</v>
      </c>
    </row>
    <row r="498" spans="1:15" ht="13.8" thickBot="1" x14ac:dyDescent="0.3">
      <c r="A498" s="6">
        <v>115</v>
      </c>
      <c r="B498" s="27" t="s">
        <v>276</v>
      </c>
      <c r="C498" s="314">
        <f t="shared" si="169"/>
        <v>226.36</v>
      </c>
      <c r="D498" s="70">
        <v>0</v>
      </c>
      <c r="E498" s="239">
        <v>0</v>
      </c>
      <c r="F498" s="239">
        <v>0</v>
      </c>
      <c r="G498" s="239">
        <v>0</v>
      </c>
      <c r="H498" s="239">
        <v>0</v>
      </c>
      <c r="I498" s="239">
        <v>0</v>
      </c>
      <c r="J498" s="239">
        <v>0</v>
      </c>
      <c r="K498" s="239">
        <v>0</v>
      </c>
      <c r="L498" s="241">
        <v>0</v>
      </c>
      <c r="M498" s="239">
        <v>0</v>
      </c>
      <c r="N498" s="70">
        <v>226.36</v>
      </c>
      <c r="O498" s="70">
        <v>0</v>
      </c>
    </row>
    <row r="499" spans="1:15" x14ac:dyDescent="0.25">
      <c r="A499" s="6">
        <v>116</v>
      </c>
      <c r="B499" s="27" t="s">
        <v>209</v>
      </c>
      <c r="C499" s="317">
        <f t="shared" si="169"/>
        <v>364.42</v>
      </c>
      <c r="D499" s="222">
        <v>0</v>
      </c>
      <c r="E499" s="222">
        <v>0</v>
      </c>
      <c r="F499" s="222">
        <v>0</v>
      </c>
      <c r="G499" s="222">
        <v>0</v>
      </c>
      <c r="H499" s="222">
        <v>0</v>
      </c>
      <c r="I499" s="222">
        <v>0</v>
      </c>
      <c r="J499" s="222">
        <v>0</v>
      </c>
      <c r="K499" s="222">
        <v>0</v>
      </c>
      <c r="L499" s="220">
        <v>0</v>
      </c>
      <c r="M499" s="239">
        <v>0</v>
      </c>
      <c r="N499" s="70">
        <v>0</v>
      </c>
      <c r="O499" s="70">
        <v>364.42</v>
      </c>
    </row>
    <row r="500" spans="1:15" x14ac:dyDescent="0.25">
      <c r="A500" s="6">
        <v>117</v>
      </c>
      <c r="B500" s="27" t="s">
        <v>267</v>
      </c>
      <c r="C500" s="317">
        <f t="shared" si="169"/>
        <v>835.08</v>
      </c>
      <c r="D500" s="239">
        <v>0</v>
      </c>
      <c r="E500" s="239">
        <v>0</v>
      </c>
      <c r="F500" s="239">
        <v>0</v>
      </c>
      <c r="G500" s="239">
        <v>0</v>
      </c>
      <c r="H500" s="239">
        <v>0</v>
      </c>
      <c r="I500" s="239">
        <v>0</v>
      </c>
      <c r="J500" s="239">
        <v>0</v>
      </c>
      <c r="K500" s="239">
        <v>0</v>
      </c>
      <c r="L500" s="241">
        <v>0</v>
      </c>
      <c r="M500" s="239">
        <v>835.08</v>
      </c>
      <c r="N500" s="70">
        <v>0</v>
      </c>
      <c r="O500" s="70">
        <v>0</v>
      </c>
    </row>
    <row r="501" spans="1:15" x14ac:dyDescent="0.25">
      <c r="A501" s="6">
        <v>118</v>
      </c>
      <c r="B501" s="27" t="s">
        <v>277</v>
      </c>
      <c r="C501" s="317">
        <f t="shared" si="169"/>
        <v>0</v>
      </c>
      <c r="D501" s="239">
        <v>0</v>
      </c>
      <c r="E501" s="239">
        <v>0</v>
      </c>
      <c r="F501" s="239">
        <v>0</v>
      </c>
      <c r="G501" s="239">
        <v>0</v>
      </c>
      <c r="H501" s="239">
        <v>0</v>
      </c>
      <c r="I501" s="239">
        <v>0</v>
      </c>
      <c r="J501" s="239">
        <v>0</v>
      </c>
      <c r="K501" s="239">
        <v>0</v>
      </c>
      <c r="L501" s="241">
        <v>0</v>
      </c>
      <c r="M501" s="239">
        <v>0</v>
      </c>
      <c r="N501" s="70">
        <v>0</v>
      </c>
      <c r="O501" s="70">
        <v>0</v>
      </c>
    </row>
    <row r="502" spans="1:15" x14ac:dyDescent="0.25">
      <c r="A502" s="6">
        <v>119</v>
      </c>
      <c r="B502" s="27" t="s">
        <v>278</v>
      </c>
      <c r="C502" s="314">
        <f t="shared" si="169"/>
        <v>1545.06</v>
      </c>
      <c r="D502" s="239">
        <v>0</v>
      </c>
      <c r="E502" s="239">
        <v>0</v>
      </c>
      <c r="F502" s="239">
        <v>0</v>
      </c>
      <c r="G502" s="239">
        <v>0</v>
      </c>
      <c r="H502" s="239">
        <v>0</v>
      </c>
      <c r="I502" s="239">
        <v>0</v>
      </c>
      <c r="J502" s="239">
        <v>0</v>
      </c>
      <c r="K502" s="239">
        <v>0</v>
      </c>
      <c r="L502" s="241">
        <v>0</v>
      </c>
      <c r="M502" s="239">
        <v>512.98</v>
      </c>
      <c r="N502" s="70">
        <v>564.16</v>
      </c>
      <c r="O502" s="70">
        <v>467.92</v>
      </c>
    </row>
    <row r="503" spans="1:15" x14ac:dyDescent="0.25">
      <c r="A503" s="6">
        <v>120</v>
      </c>
      <c r="B503" s="27" t="s">
        <v>208</v>
      </c>
      <c r="C503" s="317">
        <f t="shared" si="169"/>
        <v>134.54</v>
      </c>
      <c r="D503" s="239">
        <v>0</v>
      </c>
      <c r="E503" s="239">
        <v>0</v>
      </c>
      <c r="F503" s="239">
        <v>0</v>
      </c>
      <c r="G503" s="239">
        <v>0</v>
      </c>
      <c r="H503" s="239">
        <v>0</v>
      </c>
      <c r="I503" s="239">
        <v>0</v>
      </c>
      <c r="J503" s="239">
        <v>0</v>
      </c>
      <c r="K503" s="239">
        <v>0</v>
      </c>
      <c r="L503" s="241">
        <v>0</v>
      </c>
      <c r="M503" s="239">
        <v>50.8</v>
      </c>
      <c r="N503" s="70">
        <v>40.18</v>
      </c>
      <c r="O503" s="70">
        <v>43.56</v>
      </c>
    </row>
    <row r="504" spans="1:15" x14ac:dyDescent="0.25">
      <c r="A504" s="6">
        <v>121</v>
      </c>
      <c r="B504" s="27" t="s">
        <v>132</v>
      </c>
      <c r="C504" s="317">
        <f t="shared" si="169"/>
        <v>0</v>
      </c>
      <c r="D504" s="239">
        <v>0</v>
      </c>
      <c r="E504" s="239">
        <v>0</v>
      </c>
      <c r="F504" s="239">
        <v>0</v>
      </c>
      <c r="G504" s="239">
        <v>0</v>
      </c>
      <c r="H504" s="239">
        <v>0</v>
      </c>
      <c r="I504" s="239">
        <v>0</v>
      </c>
      <c r="J504" s="239">
        <v>0</v>
      </c>
      <c r="K504" s="239">
        <v>0</v>
      </c>
      <c r="L504" s="241">
        <v>0</v>
      </c>
      <c r="M504" s="239">
        <v>0</v>
      </c>
      <c r="N504" s="70">
        <v>0</v>
      </c>
      <c r="O504" s="70">
        <v>0</v>
      </c>
    </row>
    <row r="505" spans="1:15" x14ac:dyDescent="0.25">
      <c r="A505" s="6">
        <v>122</v>
      </c>
      <c r="B505" s="27" t="s">
        <v>279</v>
      </c>
      <c r="C505" s="317">
        <f t="shared" si="169"/>
        <v>0</v>
      </c>
      <c r="D505" s="239">
        <v>0</v>
      </c>
      <c r="E505" s="239">
        <v>0</v>
      </c>
      <c r="F505" s="239">
        <v>0</v>
      </c>
      <c r="G505" s="239">
        <v>0</v>
      </c>
      <c r="H505" s="239">
        <v>0</v>
      </c>
      <c r="I505" s="239">
        <v>0</v>
      </c>
      <c r="J505" s="239">
        <v>0</v>
      </c>
      <c r="K505" s="239">
        <v>0</v>
      </c>
      <c r="L505" s="241">
        <v>0</v>
      </c>
      <c r="M505" s="239">
        <v>0</v>
      </c>
      <c r="N505" s="70">
        <v>0</v>
      </c>
      <c r="O505" s="70">
        <v>0</v>
      </c>
    </row>
    <row r="506" spans="1:15" x14ac:dyDescent="0.25">
      <c r="A506" s="6">
        <v>123</v>
      </c>
      <c r="B506" s="27" t="s">
        <v>196</v>
      </c>
      <c r="C506" s="317">
        <f t="shared" ref="C506" si="170">SUM(D506:O506)</f>
        <v>0</v>
      </c>
      <c r="D506" s="239">
        <v>0</v>
      </c>
      <c r="E506" s="239">
        <v>0</v>
      </c>
      <c r="F506" s="239">
        <v>0</v>
      </c>
      <c r="G506" s="239">
        <v>0</v>
      </c>
      <c r="H506" s="239">
        <v>0</v>
      </c>
      <c r="I506" s="239">
        <v>0</v>
      </c>
      <c r="J506" s="239">
        <v>0</v>
      </c>
      <c r="K506" s="239">
        <v>0</v>
      </c>
      <c r="L506" s="241">
        <v>0</v>
      </c>
      <c r="M506" s="239">
        <v>0</v>
      </c>
      <c r="N506" s="70">
        <v>0</v>
      </c>
      <c r="O506" s="70">
        <v>0</v>
      </c>
    </row>
    <row r="507" spans="1:15" x14ac:dyDescent="0.25">
      <c r="A507" s="6">
        <v>125</v>
      </c>
      <c r="B507" s="27" t="s">
        <v>280</v>
      </c>
      <c r="C507" s="317">
        <f t="shared" si="169"/>
        <v>169.14</v>
      </c>
      <c r="D507" s="239">
        <v>0</v>
      </c>
      <c r="E507" s="239">
        <v>0</v>
      </c>
      <c r="F507" s="239">
        <v>0</v>
      </c>
      <c r="G507" s="239">
        <v>0</v>
      </c>
      <c r="H507" s="239">
        <v>0</v>
      </c>
      <c r="I507" s="239">
        <v>0</v>
      </c>
      <c r="J507" s="239">
        <v>0</v>
      </c>
      <c r="K507" s="239">
        <v>0</v>
      </c>
      <c r="L507" s="241">
        <v>0</v>
      </c>
      <c r="M507" s="239">
        <v>124.86</v>
      </c>
      <c r="N507" s="70">
        <v>44.28</v>
      </c>
      <c r="O507" s="70">
        <v>0</v>
      </c>
    </row>
    <row r="508" spans="1:15" x14ac:dyDescent="0.25">
      <c r="A508" s="6">
        <v>126</v>
      </c>
      <c r="B508" s="27" t="s">
        <v>622</v>
      </c>
      <c r="C508" s="317">
        <f t="shared" si="169"/>
        <v>0</v>
      </c>
      <c r="D508" s="239">
        <v>0</v>
      </c>
      <c r="E508" s="239">
        <v>0</v>
      </c>
      <c r="F508" s="239">
        <v>0</v>
      </c>
      <c r="G508" s="239">
        <v>0</v>
      </c>
      <c r="H508" s="239">
        <v>0</v>
      </c>
      <c r="I508" s="239">
        <v>0</v>
      </c>
      <c r="J508" s="239">
        <v>0</v>
      </c>
      <c r="K508" s="239">
        <v>0</v>
      </c>
      <c r="L508" s="241">
        <v>0</v>
      </c>
      <c r="M508" s="239">
        <v>0</v>
      </c>
      <c r="N508" s="70">
        <v>0</v>
      </c>
      <c r="O508" s="70">
        <v>0</v>
      </c>
    </row>
    <row r="509" spans="1:15" x14ac:dyDescent="0.25">
      <c r="A509" s="6">
        <v>127</v>
      </c>
      <c r="B509" s="27" t="s">
        <v>610</v>
      </c>
      <c r="C509" s="317">
        <f t="shared" ref="C509" si="171">SUM(D509:O509)</f>
        <v>918.45</v>
      </c>
      <c r="D509" s="239">
        <v>0</v>
      </c>
      <c r="E509" s="239">
        <v>0</v>
      </c>
      <c r="F509" s="239">
        <v>0</v>
      </c>
      <c r="G509" s="239">
        <v>0</v>
      </c>
      <c r="H509" s="239">
        <v>0</v>
      </c>
      <c r="I509" s="239">
        <v>0</v>
      </c>
      <c r="J509" s="239">
        <v>0</v>
      </c>
      <c r="K509" s="239">
        <v>0</v>
      </c>
      <c r="L509" s="241">
        <v>0</v>
      </c>
      <c r="M509" s="239">
        <v>320.07</v>
      </c>
      <c r="N509" s="70">
        <v>306.14999999999998</v>
      </c>
      <c r="O509" s="70">
        <v>292.23</v>
      </c>
    </row>
    <row r="510" spans="1:15" x14ac:dyDescent="0.25">
      <c r="A510" s="6">
        <v>129</v>
      </c>
      <c r="B510" s="27" t="s">
        <v>149</v>
      </c>
      <c r="C510" s="317">
        <f t="shared" si="169"/>
        <v>933.33</v>
      </c>
      <c r="D510" s="239">
        <v>0</v>
      </c>
      <c r="E510" s="239">
        <v>0</v>
      </c>
      <c r="F510" s="239">
        <v>0</v>
      </c>
      <c r="G510" s="239">
        <v>0</v>
      </c>
      <c r="H510" s="239">
        <v>0</v>
      </c>
      <c r="I510" s="239">
        <v>0</v>
      </c>
      <c r="J510" s="239">
        <v>0</v>
      </c>
      <c r="K510" s="239">
        <v>0</v>
      </c>
      <c r="L510" s="241">
        <v>0</v>
      </c>
      <c r="M510" s="239">
        <v>120</v>
      </c>
      <c r="N510" s="70">
        <v>0</v>
      </c>
      <c r="O510" s="70">
        <v>813.33</v>
      </c>
    </row>
    <row r="511" spans="1:15" x14ac:dyDescent="0.25">
      <c r="A511" s="6">
        <v>130</v>
      </c>
      <c r="B511" s="27" t="s">
        <v>281</v>
      </c>
      <c r="C511" s="317">
        <f>SUM(D511:O511)</f>
        <v>186.9</v>
      </c>
      <c r="D511" s="239">
        <v>0</v>
      </c>
      <c r="E511" s="239">
        <v>0</v>
      </c>
      <c r="F511" s="239">
        <v>0</v>
      </c>
      <c r="G511" s="239">
        <v>0</v>
      </c>
      <c r="H511" s="239">
        <v>0</v>
      </c>
      <c r="I511" s="239">
        <v>0</v>
      </c>
      <c r="J511" s="239">
        <v>0</v>
      </c>
      <c r="K511" s="239">
        <v>0</v>
      </c>
      <c r="L511" s="241">
        <v>0</v>
      </c>
      <c r="M511" s="239">
        <v>0</v>
      </c>
      <c r="N511" s="70">
        <v>186.9</v>
      </c>
      <c r="O511" s="70">
        <v>0</v>
      </c>
    </row>
    <row r="512" spans="1:15" x14ac:dyDescent="0.25">
      <c r="A512" s="6">
        <v>132</v>
      </c>
      <c r="B512" s="27" t="s">
        <v>282</v>
      </c>
      <c r="C512" s="317">
        <f t="shared" si="169"/>
        <v>0</v>
      </c>
      <c r="D512" s="239">
        <v>0</v>
      </c>
      <c r="E512" s="239">
        <v>0</v>
      </c>
      <c r="F512" s="239">
        <v>0</v>
      </c>
      <c r="G512" s="239">
        <v>0</v>
      </c>
      <c r="H512" s="239">
        <v>0</v>
      </c>
      <c r="I512" s="239">
        <v>0</v>
      </c>
      <c r="J512" s="239">
        <v>0</v>
      </c>
      <c r="K512" s="239">
        <v>0</v>
      </c>
      <c r="L512" s="241">
        <v>0</v>
      </c>
      <c r="M512" s="239">
        <v>0</v>
      </c>
      <c r="N512" s="70">
        <v>0</v>
      </c>
      <c r="O512" s="70">
        <v>0</v>
      </c>
    </row>
    <row r="513" spans="1:15" hidden="1" x14ac:dyDescent="0.25">
      <c r="A513" s="6">
        <v>133</v>
      </c>
      <c r="B513" s="27" t="s">
        <v>440</v>
      </c>
      <c r="C513" s="317">
        <f t="shared" si="169"/>
        <v>0</v>
      </c>
      <c r="D513" s="239">
        <v>0</v>
      </c>
      <c r="E513" s="239">
        <v>0</v>
      </c>
      <c r="F513" s="239">
        <v>0</v>
      </c>
      <c r="G513" s="239">
        <v>0</v>
      </c>
      <c r="H513" s="239">
        <v>0</v>
      </c>
      <c r="I513" s="239">
        <v>0</v>
      </c>
      <c r="J513" s="239">
        <v>0</v>
      </c>
      <c r="K513" s="239">
        <v>0</v>
      </c>
      <c r="L513" s="241">
        <v>0</v>
      </c>
      <c r="M513" s="239">
        <v>0</v>
      </c>
      <c r="N513" s="70">
        <v>0</v>
      </c>
      <c r="O513" s="70">
        <v>0</v>
      </c>
    </row>
    <row r="514" spans="1:15" x14ac:dyDescent="0.25">
      <c r="A514" s="6">
        <v>134</v>
      </c>
      <c r="B514" s="27" t="s">
        <v>283</v>
      </c>
      <c r="C514" s="317">
        <f t="shared" si="169"/>
        <v>1800</v>
      </c>
      <c r="D514" s="239">
        <v>0</v>
      </c>
      <c r="E514" s="239">
        <v>0</v>
      </c>
      <c r="F514" s="239">
        <v>0</v>
      </c>
      <c r="G514" s="239">
        <v>0</v>
      </c>
      <c r="H514" s="239">
        <v>0</v>
      </c>
      <c r="I514" s="239">
        <v>0</v>
      </c>
      <c r="J514" s="239">
        <v>0</v>
      </c>
      <c r="K514" s="239">
        <v>0</v>
      </c>
      <c r="L514" s="241">
        <v>0</v>
      </c>
      <c r="M514" s="239">
        <v>0</v>
      </c>
      <c r="N514" s="70">
        <v>0</v>
      </c>
      <c r="O514" s="70">
        <v>1800</v>
      </c>
    </row>
    <row r="515" spans="1:15" hidden="1" x14ac:dyDescent="0.25">
      <c r="A515" s="6">
        <v>135</v>
      </c>
      <c r="B515" s="27" t="s">
        <v>284</v>
      </c>
      <c r="C515" s="239">
        <f t="shared" si="169"/>
        <v>0</v>
      </c>
      <c r="D515" s="239">
        <v>0</v>
      </c>
      <c r="E515" s="239">
        <v>0</v>
      </c>
      <c r="F515" s="239">
        <v>0</v>
      </c>
      <c r="G515" s="239">
        <v>0</v>
      </c>
      <c r="H515" s="239">
        <v>0</v>
      </c>
      <c r="I515" s="239">
        <v>0</v>
      </c>
      <c r="J515" s="239">
        <v>0</v>
      </c>
      <c r="K515" s="239">
        <v>0</v>
      </c>
      <c r="L515" s="241">
        <v>0</v>
      </c>
      <c r="M515" s="239">
        <v>0</v>
      </c>
      <c r="N515" s="70">
        <v>0</v>
      </c>
      <c r="O515" s="70">
        <v>0</v>
      </c>
    </row>
    <row r="516" spans="1:15" x14ac:dyDescent="0.25">
      <c r="A516" s="6">
        <v>232</v>
      </c>
      <c r="B516" s="27" t="s">
        <v>285</v>
      </c>
      <c r="C516" s="239">
        <f t="shared" si="169"/>
        <v>61694.46</v>
      </c>
      <c r="D516" s="239">
        <v>0</v>
      </c>
      <c r="E516" s="239">
        <v>0</v>
      </c>
      <c r="F516" s="239">
        <v>0</v>
      </c>
      <c r="G516" s="239">
        <v>0</v>
      </c>
      <c r="H516" s="239">
        <v>0</v>
      </c>
      <c r="I516" s="239">
        <v>0</v>
      </c>
      <c r="J516" s="239">
        <v>0</v>
      </c>
      <c r="K516" s="239">
        <v>0</v>
      </c>
      <c r="L516" s="241">
        <v>0</v>
      </c>
      <c r="M516" s="239">
        <v>20191.59</v>
      </c>
      <c r="N516" s="70">
        <v>20191.59</v>
      </c>
      <c r="O516" s="70">
        <v>21311.279999999999</v>
      </c>
    </row>
    <row r="517" spans="1:15" x14ac:dyDescent="0.25">
      <c r="A517" s="6">
        <v>253</v>
      </c>
      <c r="B517" s="27" t="s">
        <v>286</v>
      </c>
      <c r="C517" s="317">
        <f t="shared" si="169"/>
        <v>200</v>
      </c>
      <c r="D517" s="239">
        <v>0</v>
      </c>
      <c r="E517" s="239">
        <v>0</v>
      </c>
      <c r="F517" s="239">
        <v>0</v>
      </c>
      <c r="G517" s="239">
        <v>0</v>
      </c>
      <c r="H517" s="239">
        <v>0</v>
      </c>
      <c r="I517" s="239">
        <v>0</v>
      </c>
      <c r="J517" s="239">
        <v>0</v>
      </c>
      <c r="K517" s="239">
        <v>0</v>
      </c>
      <c r="L517" s="241">
        <v>0</v>
      </c>
      <c r="M517" s="239">
        <v>0</v>
      </c>
      <c r="N517" s="70">
        <v>200</v>
      </c>
      <c r="O517" s="70">
        <v>0</v>
      </c>
    </row>
    <row r="518" spans="1:15" hidden="1" x14ac:dyDescent="0.25">
      <c r="A518" s="6">
        <v>257</v>
      </c>
      <c r="B518" s="27" t="s">
        <v>287</v>
      </c>
      <c r="C518" s="317">
        <f t="shared" si="169"/>
        <v>0</v>
      </c>
      <c r="D518" s="239">
        <v>0</v>
      </c>
      <c r="E518" s="239">
        <v>0</v>
      </c>
      <c r="F518" s="239">
        <v>0</v>
      </c>
      <c r="G518" s="239">
        <v>0</v>
      </c>
      <c r="H518" s="239">
        <v>0</v>
      </c>
      <c r="I518" s="239">
        <v>0</v>
      </c>
      <c r="J518" s="239">
        <v>0</v>
      </c>
      <c r="K518" s="239">
        <v>0</v>
      </c>
      <c r="L518" s="241">
        <v>0</v>
      </c>
      <c r="M518" s="239">
        <v>0</v>
      </c>
      <c r="N518" s="70">
        <v>0</v>
      </c>
      <c r="O518" s="70">
        <v>0</v>
      </c>
    </row>
    <row r="519" spans="1:15" x14ac:dyDescent="0.25">
      <c r="A519" s="6">
        <v>258</v>
      </c>
      <c r="B519" s="27" t="s">
        <v>288</v>
      </c>
      <c r="C519" s="314">
        <f t="shared" si="169"/>
        <v>6500</v>
      </c>
      <c r="D519" s="239">
        <v>0</v>
      </c>
      <c r="E519" s="239">
        <v>0</v>
      </c>
      <c r="F519" s="239">
        <v>0</v>
      </c>
      <c r="G519" s="239">
        <v>0</v>
      </c>
      <c r="H519" s="239">
        <v>0</v>
      </c>
      <c r="I519" s="239">
        <v>0</v>
      </c>
      <c r="J519" s="239">
        <v>0</v>
      </c>
      <c r="K519" s="239">
        <v>0</v>
      </c>
      <c r="L519" s="241">
        <v>0</v>
      </c>
      <c r="M519" s="239">
        <v>0</v>
      </c>
      <c r="N519" s="70">
        <v>6500</v>
      </c>
      <c r="O519" s="70">
        <v>0</v>
      </c>
    </row>
    <row r="520" spans="1:15" hidden="1" x14ac:dyDescent="0.25">
      <c r="A520" s="6">
        <v>259</v>
      </c>
      <c r="B520" s="27" t="s">
        <v>289</v>
      </c>
      <c r="C520" s="317">
        <f t="shared" si="169"/>
        <v>0</v>
      </c>
      <c r="D520" s="239">
        <v>0</v>
      </c>
      <c r="E520" s="239">
        <v>0</v>
      </c>
      <c r="F520" s="239">
        <v>0</v>
      </c>
      <c r="G520" s="239">
        <v>0</v>
      </c>
      <c r="H520" s="239">
        <v>0</v>
      </c>
      <c r="I520" s="239">
        <v>0</v>
      </c>
      <c r="J520" s="239">
        <v>0</v>
      </c>
      <c r="K520" s="239">
        <v>0</v>
      </c>
      <c r="L520" s="241">
        <v>0</v>
      </c>
      <c r="M520" s="239">
        <v>0</v>
      </c>
      <c r="N520" s="70">
        <v>0</v>
      </c>
      <c r="O520" s="70">
        <v>0</v>
      </c>
    </row>
    <row r="521" spans="1:15" hidden="1" x14ac:dyDescent="0.25">
      <c r="A521" s="6">
        <v>300</v>
      </c>
      <c r="B521" s="27" t="s">
        <v>290</v>
      </c>
      <c r="C521" s="317">
        <f t="shared" ref="C521:C522" si="172">SUM(D521:O521)</f>
        <v>0</v>
      </c>
      <c r="D521" s="239">
        <v>0</v>
      </c>
      <c r="E521" s="239">
        <v>0</v>
      </c>
      <c r="F521" s="239">
        <v>0</v>
      </c>
      <c r="G521" s="239">
        <v>0</v>
      </c>
      <c r="H521" s="239">
        <v>0</v>
      </c>
      <c r="I521" s="239">
        <v>0</v>
      </c>
      <c r="J521" s="239">
        <v>0</v>
      </c>
      <c r="K521" s="239">
        <v>0</v>
      </c>
      <c r="L521" s="241">
        <v>0</v>
      </c>
      <c r="M521" s="239">
        <v>0</v>
      </c>
      <c r="N521" s="70">
        <v>0</v>
      </c>
      <c r="O521" s="70">
        <v>0</v>
      </c>
    </row>
    <row r="522" spans="1:15" x14ac:dyDescent="0.25">
      <c r="A522" s="6">
        <v>348</v>
      </c>
      <c r="B522" s="27" t="s">
        <v>291</v>
      </c>
      <c r="C522" s="317">
        <f t="shared" si="172"/>
        <v>29092.91</v>
      </c>
      <c r="D522" s="239">
        <v>0</v>
      </c>
      <c r="E522" s="239">
        <v>0</v>
      </c>
      <c r="F522" s="239">
        <v>0</v>
      </c>
      <c r="G522" s="239">
        <v>0</v>
      </c>
      <c r="H522" s="239">
        <v>0</v>
      </c>
      <c r="I522" s="239">
        <v>0</v>
      </c>
      <c r="J522" s="239">
        <v>0</v>
      </c>
      <c r="K522" s="239">
        <v>0</v>
      </c>
      <c r="L522" s="241">
        <v>0</v>
      </c>
      <c r="M522" s="239">
        <v>351.86</v>
      </c>
      <c r="N522" s="70">
        <v>28741.05</v>
      </c>
      <c r="O522" s="70">
        <v>0</v>
      </c>
    </row>
    <row r="523" spans="1:15" x14ac:dyDescent="0.25">
      <c r="A523" s="6">
        <v>353</v>
      </c>
      <c r="B523" s="27" t="s">
        <v>292</v>
      </c>
      <c r="C523" s="325">
        <f t="shared" si="169"/>
        <v>0</v>
      </c>
      <c r="D523" s="239">
        <v>0</v>
      </c>
      <c r="E523" s="239">
        <v>0</v>
      </c>
      <c r="F523" s="239">
        <v>0</v>
      </c>
      <c r="G523" s="239">
        <v>0</v>
      </c>
      <c r="H523" s="239">
        <v>0</v>
      </c>
      <c r="I523" s="239">
        <v>0</v>
      </c>
      <c r="J523" s="239">
        <v>0</v>
      </c>
      <c r="K523" s="239">
        <v>0</v>
      </c>
      <c r="L523" s="241">
        <v>0</v>
      </c>
      <c r="M523" s="239">
        <v>0</v>
      </c>
      <c r="N523" s="70">
        <v>0</v>
      </c>
      <c r="O523" s="70">
        <v>0</v>
      </c>
    </row>
    <row r="524" spans="1:15" x14ac:dyDescent="0.25">
      <c r="A524" s="6">
        <v>371</v>
      </c>
      <c r="B524" s="27" t="s">
        <v>138</v>
      </c>
      <c r="C524" s="314">
        <f t="shared" si="169"/>
        <v>989.56</v>
      </c>
      <c r="D524" s="239">
        <v>0</v>
      </c>
      <c r="E524" s="239">
        <v>0</v>
      </c>
      <c r="F524" s="239">
        <v>0</v>
      </c>
      <c r="G524" s="239">
        <v>0</v>
      </c>
      <c r="H524" s="239">
        <v>0</v>
      </c>
      <c r="I524" s="239">
        <v>0</v>
      </c>
      <c r="J524" s="239">
        <v>0</v>
      </c>
      <c r="K524" s="239">
        <v>0</v>
      </c>
      <c r="L524" s="241">
        <v>0</v>
      </c>
      <c r="M524" s="239">
        <v>989.56</v>
      </c>
      <c r="N524" s="70">
        <v>0</v>
      </c>
      <c r="O524" s="70">
        <v>0</v>
      </c>
    </row>
    <row r="525" spans="1:15" hidden="1" x14ac:dyDescent="0.25">
      <c r="A525" s="6">
        <v>380</v>
      </c>
      <c r="B525" s="27" t="s">
        <v>471</v>
      </c>
      <c r="C525" s="239">
        <f t="shared" si="169"/>
        <v>0</v>
      </c>
      <c r="D525" s="239">
        <v>0</v>
      </c>
      <c r="E525" s="239">
        <v>0</v>
      </c>
      <c r="F525" s="239">
        <v>0</v>
      </c>
      <c r="G525" s="239">
        <v>0</v>
      </c>
      <c r="H525" s="239">
        <v>0</v>
      </c>
      <c r="I525" s="239">
        <v>0</v>
      </c>
      <c r="J525" s="239">
        <v>0</v>
      </c>
      <c r="K525" s="239">
        <v>0</v>
      </c>
      <c r="L525" s="241">
        <v>0</v>
      </c>
      <c r="M525" s="239">
        <v>0</v>
      </c>
      <c r="N525" s="70">
        <v>0</v>
      </c>
      <c r="O525" s="70">
        <v>0</v>
      </c>
    </row>
    <row r="526" spans="1:15" hidden="1" x14ac:dyDescent="0.25">
      <c r="A526" s="6">
        <v>402</v>
      </c>
      <c r="B526" s="27" t="s">
        <v>152</v>
      </c>
      <c r="C526" s="239">
        <f t="shared" ref="C526" si="173">SUM(D526:O526)</f>
        <v>0</v>
      </c>
      <c r="D526" s="239">
        <v>0</v>
      </c>
      <c r="E526" s="239">
        <v>0</v>
      </c>
      <c r="F526" s="239">
        <v>0</v>
      </c>
      <c r="G526" s="239">
        <v>0</v>
      </c>
      <c r="H526" s="239">
        <v>0</v>
      </c>
      <c r="I526" s="239">
        <v>0</v>
      </c>
      <c r="J526" s="239">
        <v>0</v>
      </c>
      <c r="K526" s="239">
        <v>0</v>
      </c>
      <c r="L526" s="241">
        <v>0</v>
      </c>
      <c r="M526" s="239">
        <v>0</v>
      </c>
      <c r="N526" s="70">
        <v>0</v>
      </c>
      <c r="O526" s="70">
        <v>0</v>
      </c>
    </row>
    <row r="527" spans="1:15" hidden="1" x14ac:dyDescent="0.25">
      <c r="A527" s="6">
        <v>433</v>
      </c>
      <c r="B527" s="27" t="s">
        <v>293</v>
      </c>
      <c r="C527" s="239">
        <f t="shared" si="169"/>
        <v>0</v>
      </c>
      <c r="D527" s="239">
        <v>0</v>
      </c>
      <c r="E527" s="239">
        <v>0</v>
      </c>
      <c r="F527" s="239">
        <v>0</v>
      </c>
      <c r="G527" s="239">
        <v>0</v>
      </c>
      <c r="H527" s="239">
        <v>0</v>
      </c>
      <c r="I527" s="239">
        <v>0</v>
      </c>
      <c r="J527" s="239">
        <v>0</v>
      </c>
      <c r="K527" s="239">
        <v>0</v>
      </c>
      <c r="L527" s="241">
        <v>0</v>
      </c>
      <c r="M527" s="239">
        <v>0</v>
      </c>
      <c r="N527" s="70">
        <v>0</v>
      </c>
      <c r="O527" s="70">
        <v>0</v>
      </c>
    </row>
    <row r="528" spans="1:15" x14ac:dyDescent="0.25">
      <c r="A528" s="6">
        <v>483</v>
      </c>
      <c r="B528" s="27" t="s">
        <v>294</v>
      </c>
      <c r="C528" s="317">
        <f t="shared" ref="C528" si="174">SUM(D528:O528)</f>
        <v>0</v>
      </c>
      <c r="D528" s="239">
        <v>0</v>
      </c>
      <c r="E528" s="239">
        <v>0</v>
      </c>
      <c r="F528" s="239">
        <v>0</v>
      </c>
      <c r="G528" s="239">
        <v>0</v>
      </c>
      <c r="H528" s="239">
        <v>0</v>
      </c>
      <c r="I528" s="239">
        <v>0</v>
      </c>
      <c r="J528" s="239">
        <v>0</v>
      </c>
      <c r="K528" s="239">
        <v>0</v>
      </c>
      <c r="L528" s="241">
        <v>0</v>
      </c>
      <c r="M528" s="239">
        <v>0</v>
      </c>
      <c r="N528" s="70">
        <v>0</v>
      </c>
      <c r="O528" s="70">
        <v>0</v>
      </c>
    </row>
    <row r="529" spans="1:77" x14ac:dyDescent="0.25">
      <c r="A529" s="28" t="s">
        <v>517</v>
      </c>
      <c r="B529" s="27" t="s">
        <v>518</v>
      </c>
      <c r="C529" s="317">
        <f t="shared" si="169"/>
        <v>0</v>
      </c>
      <c r="D529" s="239">
        <v>0</v>
      </c>
      <c r="E529" s="239">
        <v>0</v>
      </c>
      <c r="F529" s="239">
        <v>0</v>
      </c>
      <c r="G529" s="239">
        <v>0</v>
      </c>
      <c r="H529" s="239">
        <v>0</v>
      </c>
      <c r="I529" s="239">
        <v>0</v>
      </c>
      <c r="J529" s="239">
        <v>0</v>
      </c>
      <c r="K529" s="239">
        <v>0</v>
      </c>
      <c r="L529" s="241">
        <v>0</v>
      </c>
      <c r="M529" s="239">
        <v>0</v>
      </c>
      <c r="N529" s="70">
        <v>0</v>
      </c>
      <c r="O529" s="70">
        <v>0</v>
      </c>
    </row>
    <row r="530" spans="1:77" hidden="1" x14ac:dyDescent="0.25">
      <c r="A530" s="6">
        <v>546</v>
      </c>
      <c r="B530" s="27" t="s">
        <v>295</v>
      </c>
      <c r="C530" s="317">
        <f t="shared" ref="C530:C533" si="175">SUM(D530:O530)</f>
        <v>0</v>
      </c>
      <c r="D530" s="239">
        <v>0</v>
      </c>
      <c r="E530" s="239">
        <v>0</v>
      </c>
      <c r="F530" s="239">
        <v>0</v>
      </c>
      <c r="G530" s="239">
        <v>0</v>
      </c>
      <c r="H530" s="239">
        <v>0</v>
      </c>
      <c r="I530" s="239">
        <v>0</v>
      </c>
      <c r="J530" s="239">
        <v>0</v>
      </c>
      <c r="K530" s="239">
        <v>0</v>
      </c>
      <c r="L530" s="241">
        <v>0</v>
      </c>
      <c r="M530" s="239">
        <v>0</v>
      </c>
      <c r="N530" s="70">
        <v>0</v>
      </c>
      <c r="O530" s="70">
        <v>0</v>
      </c>
    </row>
    <row r="531" spans="1:77" x14ac:dyDescent="0.25">
      <c r="A531" s="6">
        <v>594</v>
      </c>
      <c r="B531" s="27" t="s">
        <v>296</v>
      </c>
      <c r="C531" s="317">
        <f t="shared" ref="C531:C532" si="176">SUM(D531:O531)</f>
        <v>22.98</v>
      </c>
      <c r="D531" s="239">
        <v>0</v>
      </c>
      <c r="E531" s="239">
        <v>0</v>
      </c>
      <c r="F531" s="239">
        <v>0</v>
      </c>
      <c r="G531" s="239">
        <v>0</v>
      </c>
      <c r="H531" s="239">
        <v>0</v>
      </c>
      <c r="I531" s="239">
        <v>0</v>
      </c>
      <c r="J531" s="239">
        <v>0</v>
      </c>
      <c r="K531" s="239">
        <v>0</v>
      </c>
      <c r="L531" s="241">
        <v>0</v>
      </c>
      <c r="M531" s="239">
        <v>22.98</v>
      </c>
      <c r="N531" s="70">
        <v>0</v>
      </c>
      <c r="O531" s="70">
        <v>0</v>
      </c>
    </row>
    <row r="532" spans="1:77" x14ac:dyDescent="0.25">
      <c r="A532" s="6">
        <v>523</v>
      </c>
      <c r="B532" s="27" t="s">
        <v>629</v>
      </c>
      <c r="C532" s="317">
        <f t="shared" si="176"/>
        <v>0</v>
      </c>
      <c r="D532" s="239">
        <v>0</v>
      </c>
      <c r="E532" s="239">
        <v>0</v>
      </c>
      <c r="F532" s="239">
        <v>0</v>
      </c>
      <c r="G532" s="239">
        <v>0</v>
      </c>
      <c r="H532" s="239">
        <v>0</v>
      </c>
      <c r="I532" s="239">
        <v>0</v>
      </c>
      <c r="J532" s="239">
        <v>0</v>
      </c>
      <c r="K532" s="239">
        <v>0</v>
      </c>
      <c r="L532" s="241">
        <v>0</v>
      </c>
      <c r="M532" s="239">
        <v>0</v>
      </c>
      <c r="N532" s="70">
        <v>0</v>
      </c>
      <c r="O532" s="70">
        <v>0</v>
      </c>
    </row>
    <row r="533" spans="1:77" x14ac:dyDescent="0.25">
      <c r="A533" s="6">
        <v>618</v>
      </c>
      <c r="B533" s="27" t="s">
        <v>186</v>
      </c>
      <c r="C533" s="317">
        <f t="shared" si="175"/>
        <v>24.81</v>
      </c>
      <c r="D533" s="239">
        <v>0</v>
      </c>
      <c r="E533" s="239">
        <v>0</v>
      </c>
      <c r="F533" s="239">
        <v>0</v>
      </c>
      <c r="G533" s="239">
        <v>0</v>
      </c>
      <c r="H533" s="239">
        <v>0</v>
      </c>
      <c r="I533" s="239">
        <v>0</v>
      </c>
      <c r="J533" s="239">
        <v>0</v>
      </c>
      <c r="K533" s="239">
        <v>0</v>
      </c>
      <c r="L533" s="241">
        <v>0</v>
      </c>
      <c r="M533" s="239">
        <v>0</v>
      </c>
      <c r="N533" s="70">
        <v>24.81</v>
      </c>
      <c r="O533" s="70">
        <v>0</v>
      </c>
    </row>
    <row r="534" spans="1:77" hidden="1" x14ac:dyDescent="0.25">
      <c r="A534" s="6">
        <v>619</v>
      </c>
      <c r="B534" s="27" t="s">
        <v>185</v>
      </c>
      <c r="C534" s="239">
        <f t="shared" si="169"/>
        <v>0</v>
      </c>
      <c r="D534" s="239">
        <v>0</v>
      </c>
      <c r="E534" s="239">
        <v>0</v>
      </c>
      <c r="F534" s="239">
        <v>0</v>
      </c>
      <c r="G534" s="239">
        <v>0</v>
      </c>
      <c r="H534" s="239">
        <v>0</v>
      </c>
      <c r="I534" s="239">
        <v>0</v>
      </c>
      <c r="J534" s="239">
        <v>0</v>
      </c>
      <c r="K534" s="239">
        <v>0</v>
      </c>
      <c r="L534" s="241">
        <v>0</v>
      </c>
      <c r="M534" s="239">
        <v>0</v>
      </c>
      <c r="N534" s="70">
        <v>0</v>
      </c>
      <c r="O534" s="70">
        <v>0</v>
      </c>
    </row>
    <row r="535" spans="1:77" x14ac:dyDescent="0.25">
      <c r="A535" s="6">
        <v>673</v>
      </c>
      <c r="B535" s="27" t="s">
        <v>257</v>
      </c>
      <c r="C535" s="314">
        <f t="shared" ref="C535:C536" si="177">SUM(D535:O535)</f>
        <v>0</v>
      </c>
      <c r="D535" s="239">
        <v>0</v>
      </c>
      <c r="E535" s="239">
        <v>0</v>
      </c>
      <c r="F535" s="239">
        <v>0</v>
      </c>
      <c r="G535" s="239">
        <v>0</v>
      </c>
      <c r="H535" s="239">
        <v>0</v>
      </c>
      <c r="I535" s="239">
        <v>0</v>
      </c>
      <c r="J535" s="239">
        <v>0</v>
      </c>
      <c r="K535" s="239">
        <v>0</v>
      </c>
      <c r="L535" s="241">
        <v>0</v>
      </c>
      <c r="M535" s="239">
        <v>0</v>
      </c>
      <c r="N535" s="70">
        <v>0</v>
      </c>
      <c r="O535" s="70">
        <v>0</v>
      </c>
    </row>
    <row r="536" spans="1:77" hidden="1" x14ac:dyDescent="0.25">
      <c r="A536" s="257">
        <v>715</v>
      </c>
      <c r="B536" s="258" t="s">
        <v>525</v>
      </c>
      <c r="C536" s="239">
        <f t="shared" si="177"/>
        <v>0</v>
      </c>
      <c r="D536" s="239">
        <v>0</v>
      </c>
      <c r="E536" s="239">
        <v>0</v>
      </c>
      <c r="F536" s="239">
        <v>0</v>
      </c>
      <c r="G536" s="239">
        <v>0</v>
      </c>
      <c r="H536" s="239">
        <v>0</v>
      </c>
      <c r="I536" s="239">
        <v>0</v>
      </c>
      <c r="J536" s="239">
        <v>0</v>
      </c>
      <c r="K536" s="239">
        <v>0</v>
      </c>
      <c r="L536" s="241">
        <v>0</v>
      </c>
      <c r="M536" s="239">
        <v>0</v>
      </c>
      <c r="N536" s="70">
        <v>0</v>
      </c>
      <c r="O536" s="70">
        <v>0</v>
      </c>
    </row>
    <row r="537" spans="1:77" ht="13.8" thickBot="1" x14ac:dyDescent="0.3">
      <c r="A537" s="257"/>
      <c r="B537" s="258"/>
      <c r="C537" s="239"/>
      <c r="D537" s="223"/>
      <c r="E537" s="223"/>
      <c r="F537" s="223"/>
      <c r="G537" s="223"/>
      <c r="H537" s="223"/>
      <c r="I537" s="223"/>
      <c r="J537" s="223"/>
      <c r="K537" s="223"/>
      <c r="L537" s="221"/>
      <c r="M537" s="223"/>
      <c r="N537" s="72"/>
      <c r="O537" s="72"/>
    </row>
    <row r="538" spans="1:77" ht="13.8" thickBot="1" x14ac:dyDescent="0.3">
      <c r="A538" s="2"/>
      <c r="B538" s="249" t="s">
        <v>483</v>
      </c>
      <c r="C538" s="35">
        <f t="shared" si="169"/>
        <v>592192.1399999999</v>
      </c>
      <c r="D538" s="256">
        <f>SUM(D539:D574)</f>
        <v>0</v>
      </c>
      <c r="E538" s="245">
        <f>SUM(E539:E574)</f>
        <v>0</v>
      </c>
      <c r="F538" s="245">
        <f>SUM(F539:F571)</f>
        <v>0</v>
      </c>
      <c r="G538" s="245">
        <f>SUM(G539:G574)</f>
        <v>0</v>
      </c>
      <c r="H538" s="35">
        <f>SUM(H539:H571)</f>
        <v>0</v>
      </c>
      <c r="I538" s="35">
        <f>SUM(I539:I571)</f>
        <v>0</v>
      </c>
      <c r="J538" s="35">
        <f>SUM(J539:J571)</f>
        <v>0</v>
      </c>
      <c r="K538" s="35">
        <f>SUM(K539:K574)</f>
        <v>0</v>
      </c>
      <c r="L538" s="35">
        <f>SUM(L539:L574)</f>
        <v>0</v>
      </c>
      <c r="M538" s="201">
        <f>SUM(M539:M573)</f>
        <v>352829.36</v>
      </c>
      <c r="N538" s="201">
        <f>SUM(N539:N574)</f>
        <v>208394.55</v>
      </c>
      <c r="O538" s="201">
        <f>SUM(O539:O573)</f>
        <v>30968.230000000003</v>
      </c>
      <c r="R538" s="4"/>
    </row>
    <row r="539" spans="1:77" x14ac:dyDescent="0.25">
      <c r="A539" s="53">
        <v>136</v>
      </c>
      <c r="B539" s="251" t="s">
        <v>132</v>
      </c>
      <c r="C539" s="326">
        <f t="shared" si="169"/>
        <v>2466.19</v>
      </c>
      <c r="D539" s="222">
        <v>0</v>
      </c>
      <c r="E539" s="222">
        <v>0</v>
      </c>
      <c r="F539" s="222">
        <v>0</v>
      </c>
      <c r="G539" s="222">
        <v>0</v>
      </c>
      <c r="H539" s="222">
        <v>0</v>
      </c>
      <c r="I539" s="222">
        <v>0</v>
      </c>
      <c r="J539" s="222">
        <v>0</v>
      </c>
      <c r="K539" s="222">
        <v>0</v>
      </c>
      <c r="L539" s="222">
        <v>0</v>
      </c>
      <c r="M539" s="222">
        <v>2466.19</v>
      </c>
      <c r="N539" s="222">
        <v>0</v>
      </c>
      <c r="O539" s="222">
        <v>0</v>
      </c>
      <c r="P539" s="184"/>
      <c r="V539" s="4"/>
      <c r="W539" s="4"/>
      <c r="X539" s="4"/>
      <c r="Y539" s="4"/>
      <c r="Z539" s="4"/>
      <c r="AA539" s="4"/>
      <c r="AB539" s="4"/>
      <c r="AC539" s="4"/>
      <c r="AD539" s="4"/>
      <c r="AE539" s="4"/>
      <c r="AF539" s="4"/>
      <c r="AG539" s="4"/>
      <c r="AH539" s="4"/>
      <c r="AI539" s="4"/>
      <c r="AJ539" s="4"/>
      <c r="AK539" s="4"/>
      <c r="AL539" s="4"/>
      <c r="AM539" s="4"/>
      <c r="AN539" s="4"/>
      <c r="AO539" s="4"/>
      <c r="AP539" s="4"/>
      <c r="AQ539" s="4"/>
      <c r="AR539" s="4"/>
      <c r="AS539" s="4"/>
      <c r="AT539" s="4"/>
      <c r="AU539" s="4"/>
      <c r="AV539" s="4"/>
      <c r="AW539" s="4"/>
      <c r="AX539" s="4"/>
      <c r="AY539" s="4"/>
      <c r="AZ539" s="4"/>
      <c r="BA539" s="4"/>
      <c r="BB539" s="4"/>
      <c r="BC539" s="4"/>
      <c r="BD539" s="4"/>
      <c r="BE539" s="4"/>
      <c r="BF539" s="4"/>
      <c r="BG539" s="4"/>
      <c r="BH539" s="4"/>
      <c r="BI539" s="4"/>
      <c r="BJ539" s="4"/>
      <c r="BK539" s="4"/>
      <c r="BL539" s="4"/>
      <c r="BM539" s="4"/>
      <c r="BN539" s="4"/>
      <c r="BO539" s="4"/>
      <c r="BP539" s="4"/>
      <c r="BQ539" s="4"/>
      <c r="BR539" s="4"/>
      <c r="BS539" s="4"/>
      <c r="BT539" s="4"/>
      <c r="BU539" s="4"/>
      <c r="BV539" s="4"/>
      <c r="BW539" s="4"/>
      <c r="BX539" s="4"/>
      <c r="BY539" s="4"/>
    </row>
    <row r="540" spans="1:77" x14ac:dyDescent="0.25">
      <c r="A540" s="6">
        <v>137</v>
      </c>
      <c r="B540" s="27" t="s">
        <v>297</v>
      </c>
      <c r="C540" s="326">
        <f t="shared" si="169"/>
        <v>2007.44</v>
      </c>
      <c r="D540" s="239">
        <v>0</v>
      </c>
      <c r="E540" s="239">
        <v>0</v>
      </c>
      <c r="F540" s="239">
        <v>0</v>
      </c>
      <c r="G540" s="239">
        <v>0</v>
      </c>
      <c r="H540" s="239">
        <v>0</v>
      </c>
      <c r="I540" s="239">
        <v>0</v>
      </c>
      <c r="J540" s="239">
        <v>0</v>
      </c>
      <c r="K540" s="239">
        <v>0</v>
      </c>
      <c r="L540" s="239">
        <v>0</v>
      </c>
      <c r="M540" s="239">
        <v>0</v>
      </c>
      <c r="N540" s="239">
        <v>2007.44</v>
      </c>
      <c r="O540" s="239">
        <v>0</v>
      </c>
      <c r="P540" s="144"/>
      <c r="V540" s="4"/>
      <c r="W540" s="4"/>
      <c r="X540" s="4"/>
      <c r="Y540" s="4"/>
      <c r="Z540" s="4"/>
      <c r="AA540" s="4"/>
      <c r="AB540" s="4"/>
      <c r="AC540" s="4"/>
      <c r="AD540" s="4"/>
      <c r="AE540" s="4"/>
      <c r="AF540" s="4"/>
      <c r="AG540" s="4"/>
      <c r="AH540" s="4"/>
      <c r="AI540" s="4"/>
      <c r="AJ540" s="4"/>
      <c r="AK540" s="4"/>
      <c r="AL540" s="4"/>
      <c r="AM540" s="4"/>
      <c r="AN540" s="4"/>
      <c r="AO540" s="4"/>
      <c r="AP540" s="4"/>
      <c r="AQ540" s="4"/>
      <c r="AR540" s="4"/>
      <c r="AS540" s="4"/>
      <c r="AT540" s="4"/>
      <c r="AU540" s="4"/>
      <c r="AV540" s="4"/>
      <c r="AW540" s="4"/>
      <c r="AX540" s="4"/>
      <c r="AY540" s="4"/>
      <c r="AZ540" s="4"/>
      <c r="BA540" s="4"/>
      <c r="BB540" s="4"/>
      <c r="BC540" s="4"/>
      <c r="BD540" s="4"/>
      <c r="BE540" s="4"/>
      <c r="BF540" s="4"/>
      <c r="BG540" s="4"/>
      <c r="BH540" s="4"/>
      <c r="BI540" s="4"/>
      <c r="BJ540" s="4"/>
      <c r="BK540" s="4"/>
      <c r="BL540" s="4"/>
      <c r="BM540" s="4"/>
      <c r="BN540" s="4"/>
      <c r="BO540" s="4"/>
      <c r="BP540" s="4"/>
      <c r="BQ540" s="4"/>
      <c r="BR540" s="4"/>
      <c r="BS540" s="4"/>
      <c r="BT540" s="4"/>
      <c r="BU540" s="4"/>
      <c r="BV540" s="4"/>
      <c r="BW540" s="4"/>
      <c r="BX540" s="4"/>
      <c r="BY540" s="4"/>
    </row>
    <row r="541" spans="1:77" x14ac:dyDescent="0.25">
      <c r="A541" s="53">
        <v>138</v>
      </c>
      <c r="B541" s="251" t="s">
        <v>221</v>
      </c>
      <c r="C541" s="326">
        <f t="shared" si="169"/>
        <v>0</v>
      </c>
      <c r="D541" s="239">
        <v>0</v>
      </c>
      <c r="E541" s="239">
        <v>0</v>
      </c>
      <c r="F541" s="239">
        <v>0</v>
      </c>
      <c r="G541" s="239">
        <v>0</v>
      </c>
      <c r="H541" s="239">
        <v>0</v>
      </c>
      <c r="I541" s="239">
        <v>0</v>
      </c>
      <c r="J541" s="239">
        <v>0</v>
      </c>
      <c r="K541" s="239">
        <v>0</v>
      </c>
      <c r="L541" s="239">
        <v>0</v>
      </c>
      <c r="M541" s="239">
        <v>0</v>
      </c>
      <c r="N541" s="239">
        <v>0</v>
      </c>
      <c r="O541" s="239">
        <v>0</v>
      </c>
      <c r="V541" s="4"/>
      <c r="W541" s="4"/>
      <c r="X541" s="4"/>
      <c r="Y541" s="4"/>
      <c r="Z541" s="4"/>
      <c r="AA541" s="4"/>
      <c r="AB541" s="4"/>
      <c r="AC541" s="4"/>
      <c r="AD541" s="4"/>
      <c r="AE541" s="4"/>
      <c r="AF541" s="4"/>
      <c r="AG541" s="4"/>
      <c r="AH541" s="4"/>
      <c r="AI541" s="4"/>
      <c r="AJ541" s="4"/>
      <c r="AK541" s="4"/>
      <c r="AL541" s="4"/>
      <c r="AM541" s="4"/>
      <c r="AN541" s="4"/>
      <c r="AO541" s="4"/>
      <c r="AP541" s="4"/>
      <c r="AQ541" s="4"/>
      <c r="AR541" s="4"/>
      <c r="AS541" s="4"/>
      <c r="AT541" s="4"/>
      <c r="AU541" s="4"/>
      <c r="AV541" s="4"/>
      <c r="AW541" s="4"/>
      <c r="AX541" s="4"/>
      <c r="AY541" s="4"/>
      <c r="AZ541" s="4"/>
      <c r="BA541" s="4"/>
      <c r="BB541" s="4"/>
      <c r="BC541" s="4"/>
      <c r="BD541" s="4"/>
      <c r="BE541" s="4"/>
      <c r="BF541" s="4"/>
      <c r="BG541" s="4"/>
      <c r="BH541" s="4"/>
      <c r="BI541" s="4"/>
      <c r="BJ541" s="4"/>
      <c r="BK541" s="4"/>
      <c r="BL541" s="4"/>
      <c r="BM541" s="4"/>
      <c r="BN541" s="4"/>
      <c r="BO541" s="4"/>
      <c r="BP541" s="4"/>
      <c r="BQ541" s="4"/>
      <c r="BR541" s="4"/>
      <c r="BS541" s="4"/>
      <c r="BT541" s="4"/>
      <c r="BU541" s="4"/>
      <c r="BV541" s="4"/>
      <c r="BW541" s="4"/>
      <c r="BX541" s="4"/>
      <c r="BY541" s="4"/>
    </row>
    <row r="542" spans="1:77" x14ac:dyDescent="0.25">
      <c r="A542" s="53">
        <v>139</v>
      </c>
      <c r="B542" s="251" t="s">
        <v>624</v>
      </c>
      <c r="C542" s="327">
        <f t="shared" si="169"/>
        <v>26921.690000000002</v>
      </c>
      <c r="D542" s="239">
        <v>0</v>
      </c>
      <c r="E542" s="239">
        <v>0</v>
      </c>
      <c r="F542" s="239">
        <v>0</v>
      </c>
      <c r="G542" s="239">
        <v>0</v>
      </c>
      <c r="H542" s="239">
        <v>0</v>
      </c>
      <c r="I542" s="239">
        <v>0</v>
      </c>
      <c r="J542" s="239">
        <v>0</v>
      </c>
      <c r="K542" s="239">
        <v>0</v>
      </c>
      <c r="L542" s="239">
        <v>0</v>
      </c>
      <c r="M542" s="239">
        <v>15283.27</v>
      </c>
      <c r="N542" s="239">
        <v>4186.1099999999997</v>
      </c>
      <c r="O542" s="239">
        <v>7452.31</v>
      </c>
      <c r="V542" s="4"/>
      <c r="W542" s="4"/>
      <c r="X542" s="4"/>
      <c r="Y542" s="4"/>
      <c r="Z542" s="4"/>
      <c r="AA542" s="4"/>
      <c r="AB542" s="4"/>
      <c r="AC542" s="4"/>
      <c r="AD542" s="4"/>
      <c r="AE542" s="4"/>
      <c r="AF542" s="4"/>
      <c r="AG542" s="4"/>
      <c r="AH542" s="4"/>
      <c r="AI542" s="4"/>
      <c r="AJ542" s="4"/>
      <c r="AK542" s="4"/>
      <c r="AL542" s="4"/>
      <c r="AM542" s="4"/>
      <c r="AN542" s="4"/>
      <c r="AO542" s="4"/>
      <c r="AP542" s="4"/>
      <c r="AQ542" s="4"/>
      <c r="AR542" s="4"/>
      <c r="AS542" s="4"/>
      <c r="AT542" s="4"/>
      <c r="AU542" s="4"/>
      <c r="AV542" s="4"/>
      <c r="AW542" s="4"/>
      <c r="AX542" s="4"/>
      <c r="AY542" s="4"/>
      <c r="AZ542" s="4"/>
      <c r="BA542" s="4"/>
      <c r="BB542" s="4"/>
      <c r="BC542" s="4"/>
      <c r="BD542" s="4"/>
      <c r="BE542" s="4"/>
      <c r="BF542" s="4"/>
      <c r="BG542" s="4"/>
      <c r="BH542" s="4"/>
      <c r="BI542" s="4"/>
      <c r="BJ542" s="4"/>
      <c r="BK542" s="4"/>
      <c r="BL542" s="4"/>
      <c r="BM542" s="4"/>
      <c r="BN542" s="4"/>
      <c r="BO542" s="4"/>
      <c r="BP542" s="4"/>
      <c r="BQ542" s="4"/>
      <c r="BR542" s="4"/>
      <c r="BS542" s="4"/>
      <c r="BT542" s="4"/>
      <c r="BU542" s="4"/>
      <c r="BV542" s="4"/>
      <c r="BW542" s="4"/>
      <c r="BX542" s="4"/>
      <c r="BY542" s="4"/>
    </row>
    <row r="543" spans="1:77" x14ac:dyDescent="0.25">
      <c r="A543" s="6">
        <v>140</v>
      </c>
      <c r="B543" s="27" t="s">
        <v>618</v>
      </c>
      <c r="C543" s="326">
        <f t="shared" si="169"/>
        <v>0</v>
      </c>
      <c r="D543" s="239">
        <v>0</v>
      </c>
      <c r="E543" s="239">
        <v>0</v>
      </c>
      <c r="F543" s="239">
        <v>0</v>
      </c>
      <c r="G543" s="239">
        <v>0</v>
      </c>
      <c r="H543" s="239">
        <v>0</v>
      </c>
      <c r="I543" s="239">
        <v>0</v>
      </c>
      <c r="J543" s="239">
        <v>0</v>
      </c>
      <c r="K543" s="239">
        <v>0</v>
      </c>
      <c r="L543" s="239">
        <v>0</v>
      </c>
      <c r="M543" s="239">
        <v>0</v>
      </c>
      <c r="N543" s="239">
        <v>0</v>
      </c>
      <c r="O543" s="239">
        <v>0</v>
      </c>
      <c r="V543" s="4"/>
      <c r="W543" s="4"/>
      <c r="X543" s="4"/>
      <c r="Y543" s="4"/>
      <c r="Z543" s="4"/>
      <c r="AA543" s="4"/>
      <c r="AB543" s="4"/>
      <c r="AC543" s="4"/>
      <c r="AD543" s="4"/>
      <c r="AE543" s="4"/>
      <c r="AF543" s="4"/>
      <c r="AG543" s="4"/>
      <c r="AH543" s="4"/>
      <c r="AI543" s="4"/>
      <c r="AJ543" s="4"/>
      <c r="AK543" s="4"/>
      <c r="AL543" s="4"/>
      <c r="AM543" s="4"/>
      <c r="AN543" s="4"/>
      <c r="AO543" s="4"/>
      <c r="AP543" s="4"/>
      <c r="AQ543" s="4"/>
      <c r="AR543" s="4"/>
      <c r="AS543" s="4"/>
      <c r="AT543" s="4"/>
      <c r="AU543" s="4"/>
      <c r="AV543" s="4"/>
      <c r="AW543" s="4"/>
      <c r="AX543" s="4"/>
      <c r="AY543" s="4"/>
      <c r="AZ543" s="4"/>
      <c r="BA543" s="4"/>
      <c r="BB543" s="4"/>
      <c r="BC543" s="4"/>
      <c r="BD543" s="4"/>
      <c r="BE543" s="4"/>
      <c r="BF543" s="4"/>
      <c r="BG543" s="4"/>
      <c r="BH543" s="4"/>
      <c r="BI543" s="4"/>
      <c r="BJ543" s="4"/>
      <c r="BK543" s="4"/>
      <c r="BL543" s="4"/>
      <c r="BM543" s="4"/>
      <c r="BN543" s="4"/>
      <c r="BO543" s="4"/>
      <c r="BP543" s="4"/>
      <c r="BQ543" s="4"/>
      <c r="BR543" s="4"/>
      <c r="BS543" s="4"/>
      <c r="BT543" s="4"/>
      <c r="BU543" s="4"/>
      <c r="BV543" s="4"/>
      <c r="BW543" s="4"/>
      <c r="BX543" s="4"/>
      <c r="BY543" s="4"/>
    </row>
    <row r="544" spans="1:77" x14ac:dyDescent="0.25">
      <c r="A544" s="6">
        <v>141</v>
      </c>
      <c r="B544" s="27" t="s">
        <v>423</v>
      </c>
      <c r="C544" s="326">
        <f t="shared" ref="C544:C580" si="178">SUM(D544:O544)</f>
        <v>-5618.42</v>
      </c>
      <c r="D544" s="239">
        <v>0</v>
      </c>
      <c r="E544" s="239">
        <v>0</v>
      </c>
      <c r="F544" s="239">
        <v>0</v>
      </c>
      <c r="G544" s="239">
        <v>0</v>
      </c>
      <c r="H544" s="239">
        <v>0</v>
      </c>
      <c r="I544" s="239">
        <v>0</v>
      </c>
      <c r="J544" s="239">
        <v>0</v>
      </c>
      <c r="K544" s="239">
        <v>0</v>
      </c>
      <c r="L544" s="239">
        <v>0</v>
      </c>
      <c r="M544" s="239">
        <v>0</v>
      </c>
      <c r="N544" s="239">
        <v>-3075.24</v>
      </c>
      <c r="O544" s="239">
        <v>-2543.1799999999998</v>
      </c>
      <c r="V544" s="4"/>
      <c r="W544" s="4"/>
      <c r="X544" s="4"/>
      <c r="Y544" s="4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/>
      <c r="AX544" s="4"/>
      <c r="AY544" s="4"/>
      <c r="AZ544" s="4"/>
      <c r="BA544" s="4"/>
      <c r="BB544" s="4"/>
      <c r="BC544" s="4"/>
      <c r="BD544" s="4"/>
      <c r="BE544" s="4"/>
      <c r="BF544" s="4"/>
      <c r="BG544" s="4"/>
      <c r="BH544" s="4"/>
      <c r="BI544" s="4"/>
      <c r="BJ544" s="4"/>
      <c r="BK544" s="4"/>
      <c r="BL544" s="4"/>
      <c r="BM544" s="4"/>
      <c r="BN544" s="4"/>
      <c r="BO544" s="4"/>
      <c r="BP544" s="4"/>
      <c r="BQ544" s="4"/>
      <c r="BR544" s="4"/>
      <c r="BS544" s="4"/>
      <c r="BT544" s="4"/>
      <c r="BU544" s="4"/>
      <c r="BV544" s="4"/>
      <c r="BW544" s="4"/>
      <c r="BX544" s="4"/>
      <c r="BY544" s="4"/>
    </row>
    <row r="545" spans="1:77" x14ac:dyDescent="0.25">
      <c r="A545" s="6">
        <v>142</v>
      </c>
      <c r="B545" s="27" t="s">
        <v>472</v>
      </c>
      <c r="C545" s="326">
        <f>SUM(D545:O545)</f>
        <v>0</v>
      </c>
      <c r="D545" s="239">
        <v>0</v>
      </c>
      <c r="E545" s="239">
        <v>0</v>
      </c>
      <c r="F545" s="239">
        <v>0</v>
      </c>
      <c r="G545" s="239">
        <v>0</v>
      </c>
      <c r="H545" s="239">
        <v>0</v>
      </c>
      <c r="I545" s="239">
        <v>0</v>
      </c>
      <c r="J545" s="239">
        <v>0</v>
      </c>
      <c r="K545" s="239">
        <v>0</v>
      </c>
      <c r="L545" s="239">
        <v>0</v>
      </c>
      <c r="M545" s="239">
        <v>0</v>
      </c>
      <c r="N545" s="239">
        <v>0</v>
      </c>
      <c r="O545" s="239">
        <v>0</v>
      </c>
      <c r="V545" s="4"/>
      <c r="W545" s="4"/>
      <c r="X545" s="4"/>
      <c r="Y545" s="4"/>
      <c r="Z545" s="4"/>
      <c r="AA545" s="4"/>
      <c r="AB545" s="4"/>
      <c r="AC545" s="4"/>
      <c r="AD545" s="4"/>
      <c r="AE545" s="4"/>
      <c r="AF545" s="4"/>
      <c r="AG545" s="4"/>
      <c r="AH545" s="4"/>
      <c r="AI545" s="4"/>
      <c r="AJ545" s="4"/>
      <c r="AK545" s="4"/>
      <c r="AL545" s="4"/>
      <c r="AM545" s="4"/>
      <c r="AN545" s="4"/>
      <c r="AO545" s="4"/>
      <c r="AP545" s="4"/>
      <c r="AQ545" s="4"/>
      <c r="AR545" s="4"/>
      <c r="AS545" s="4"/>
      <c r="AT545" s="4"/>
      <c r="AU545" s="4"/>
      <c r="AV545" s="4"/>
      <c r="AW545" s="4"/>
      <c r="AX545" s="4"/>
      <c r="AY545" s="4"/>
      <c r="AZ545" s="4"/>
      <c r="BA545" s="4"/>
      <c r="BB545" s="4"/>
      <c r="BC545" s="4"/>
      <c r="BD545" s="4"/>
      <c r="BE545" s="4"/>
      <c r="BF545" s="4"/>
      <c r="BG545" s="4"/>
      <c r="BH545" s="4"/>
      <c r="BI545" s="4"/>
      <c r="BJ545" s="4"/>
      <c r="BK545" s="4"/>
      <c r="BL545" s="4"/>
      <c r="BM545" s="4"/>
      <c r="BN545" s="4"/>
      <c r="BO545" s="4"/>
      <c r="BP545" s="4"/>
      <c r="BQ545" s="4"/>
      <c r="BR545" s="4"/>
      <c r="BS545" s="4"/>
      <c r="BT545" s="4"/>
      <c r="BU545" s="4"/>
      <c r="BV545" s="4"/>
      <c r="BW545" s="4"/>
      <c r="BX545" s="4"/>
      <c r="BY545" s="4"/>
    </row>
    <row r="546" spans="1:77" x14ac:dyDescent="0.25">
      <c r="A546" s="53">
        <v>143</v>
      </c>
      <c r="B546" s="251" t="s">
        <v>298</v>
      </c>
      <c r="C546" s="326">
        <f t="shared" si="178"/>
        <v>0</v>
      </c>
      <c r="D546" s="239">
        <v>0</v>
      </c>
      <c r="E546" s="239">
        <v>0</v>
      </c>
      <c r="F546" s="239">
        <v>0</v>
      </c>
      <c r="G546" s="239">
        <v>0</v>
      </c>
      <c r="H546" s="239">
        <v>0</v>
      </c>
      <c r="I546" s="239">
        <v>0</v>
      </c>
      <c r="J546" s="239">
        <v>0</v>
      </c>
      <c r="K546" s="239">
        <v>0</v>
      </c>
      <c r="L546" s="239">
        <v>0</v>
      </c>
      <c r="M546" s="239">
        <v>0</v>
      </c>
      <c r="N546" s="239">
        <v>0</v>
      </c>
      <c r="O546" s="239">
        <v>0</v>
      </c>
      <c r="V546" s="4"/>
      <c r="W546" s="4"/>
      <c r="X546" s="4"/>
      <c r="Y546" s="4"/>
      <c r="Z546" s="4"/>
      <c r="AA546" s="4"/>
      <c r="AB546" s="4"/>
      <c r="AC546" s="4"/>
      <c r="AD546" s="4"/>
      <c r="AE546" s="4"/>
      <c r="AF546" s="4"/>
      <c r="AG546" s="4"/>
      <c r="AH546" s="4"/>
      <c r="AI546" s="4"/>
      <c r="AJ546" s="4"/>
      <c r="AK546" s="4"/>
      <c r="AL546" s="4"/>
      <c r="AM546" s="4"/>
      <c r="AN546" s="4"/>
      <c r="AO546" s="4"/>
      <c r="AP546" s="4"/>
      <c r="AQ546" s="4"/>
      <c r="AR546" s="4"/>
      <c r="AS546" s="4"/>
      <c r="AT546" s="4"/>
      <c r="AU546" s="4"/>
      <c r="AV546" s="4"/>
      <c r="AW546" s="4"/>
      <c r="AX546" s="4"/>
      <c r="AY546" s="4"/>
      <c r="AZ546" s="4"/>
      <c r="BA546" s="4"/>
      <c r="BB546" s="4"/>
      <c r="BC546" s="4"/>
      <c r="BD546" s="4"/>
      <c r="BE546" s="4"/>
      <c r="BF546" s="4"/>
      <c r="BG546" s="4"/>
      <c r="BH546" s="4"/>
      <c r="BI546" s="4"/>
      <c r="BJ546" s="4"/>
      <c r="BK546" s="4"/>
      <c r="BL546" s="4"/>
      <c r="BM546" s="4"/>
      <c r="BN546" s="4"/>
      <c r="BO546" s="4"/>
      <c r="BP546" s="4"/>
      <c r="BQ546" s="4"/>
      <c r="BR546" s="4"/>
      <c r="BS546" s="4"/>
      <c r="BT546" s="4"/>
      <c r="BU546" s="4"/>
      <c r="BV546" s="4"/>
      <c r="BW546" s="4"/>
      <c r="BX546" s="4"/>
      <c r="BY546" s="4"/>
    </row>
    <row r="547" spans="1:77" x14ac:dyDescent="0.25">
      <c r="A547" s="53">
        <v>144</v>
      </c>
      <c r="B547" s="251" t="s">
        <v>299</v>
      </c>
      <c r="C547" s="326">
        <f t="shared" si="178"/>
        <v>422.1</v>
      </c>
      <c r="D547" s="239">
        <v>0</v>
      </c>
      <c r="E547" s="239">
        <v>0</v>
      </c>
      <c r="F547" s="239">
        <v>0</v>
      </c>
      <c r="G547" s="239">
        <v>0</v>
      </c>
      <c r="H547" s="239">
        <v>0</v>
      </c>
      <c r="I547" s="239">
        <v>0</v>
      </c>
      <c r="J547" s="239">
        <v>0</v>
      </c>
      <c r="K547" s="239">
        <v>0</v>
      </c>
      <c r="L547" s="239">
        <v>0</v>
      </c>
      <c r="M547" s="239">
        <v>0</v>
      </c>
      <c r="N547" s="239">
        <v>0</v>
      </c>
      <c r="O547" s="239">
        <v>422.1</v>
      </c>
      <c r="V547" s="4"/>
      <c r="W547" s="4"/>
      <c r="X547" s="4"/>
      <c r="Y547" s="4"/>
      <c r="Z547" s="4"/>
      <c r="AA547" s="4"/>
      <c r="AB547" s="4"/>
      <c r="AC547" s="4"/>
      <c r="AD547" s="4"/>
      <c r="AE547" s="4"/>
      <c r="AF547" s="4"/>
      <c r="AG547" s="4"/>
      <c r="AH547" s="4"/>
      <c r="AI547" s="4"/>
      <c r="AJ547" s="4"/>
      <c r="AK547" s="4"/>
      <c r="AL547" s="4"/>
      <c r="AM547" s="4"/>
      <c r="AN547" s="4"/>
      <c r="AO547" s="4"/>
      <c r="AP547" s="4"/>
      <c r="AQ547" s="4"/>
      <c r="AR547" s="4"/>
      <c r="AS547" s="4"/>
      <c r="AT547" s="4"/>
      <c r="AU547" s="4"/>
      <c r="AV547" s="4"/>
      <c r="AW547" s="4"/>
      <c r="AX547" s="4"/>
      <c r="AY547" s="4"/>
      <c r="AZ547" s="4"/>
      <c r="BA547" s="4"/>
      <c r="BB547" s="4"/>
      <c r="BC547" s="4"/>
      <c r="BD547" s="4"/>
      <c r="BE547" s="4"/>
      <c r="BF547" s="4"/>
      <c r="BG547" s="4"/>
      <c r="BH547" s="4"/>
      <c r="BI547" s="4"/>
      <c r="BJ547" s="4"/>
      <c r="BK547" s="4"/>
      <c r="BL547" s="4"/>
      <c r="BM547" s="4"/>
      <c r="BN547" s="4"/>
      <c r="BO547" s="4"/>
      <c r="BP547" s="4"/>
      <c r="BQ547" s="4"/>
      <c r="BR547" s="4"/>
      <c r="BS547" s="4"/>
      <c r="BT547" s="4"/>
      <c r="BU547" s="4"/>
      <c r="BV547" s="4"/>
      <c r="BW547" s="4"/>
      <c r="BX547" s="4"/>
      <c r="BY547" s="4"/>
    </row>
    <row r="548" spans="1:77" x14ac:dyDescent="0.25">
      <c r="A548" s="53">
        <v>145</v>
      </c>
      <c r="B548" s="251" t="s">
        <v>300</v>
      </c>
      <c r="C548" s="326">
        <f t="shared" si="178"/>
        <v>238594.55000000002</v>
      </c>
      <c r="D548" s="239">
        <v>0</v>
      </c>
      <c r="E548" s="239">
        <v>0</v>
      </c>
      <c r="F548" s="239">
        <v>0</v>
      </c>
      <c r="G548" s="239">
        <v>0</v>
      </c>
      <c r="H548" s="239">
        <v>0</v>
      </c>
      <c r="I548" s="239">
        <v>0</v>
      </c>
      <c r="J548" s="239">
        <v>0</v>
      </c>
      <c r="K548" s="239">
        <v>0</v>
      </c>
      <c r="L548" s="239">
        <v>0</v>
      </c>
      <c r="M548" s="239">
        <v>121286.3</v>
      </c>
      <c r="N548" s="239">
        <v>105673.3</v>
      </c>
      <c r="O548" s="239">
        <v>11634.95</v>
      </c>
      <c r="V548" s="4"/>
      <c r="W548" s="4"/>
      <c r="X548" s="4"/>
      <c r="Y548" s="4"/>
      <c r="Z548" s="4"/>
      <c r="AA548" s="4"/>
      <c r="AB548" s="4"/>
      <c r="AC548" s="4"/>
      <c r="AD548" s="4"/>
      <c r="AE548" s="4"/>
      <c r="AF548" s="4"/>
      <c r="AG548" s="4"/>
      <c r="AH548" s="4"/>
      <c r="AI548" s="4"/>
      <c r="AJ548" s="4"/>
      <c r="AK548" s="4"/>
      <c r="AL548" s="4"/>
      <c r="AM548" s="4"/>
      <c r="AN548" s="4"/>
      <c r="AO548" s="4"/>
      <c r="AP548" s="4"/>
      <c r="AQ548" s="4"/>
      <c r="AR548" s="4"/>
      <c r="AS548" s="4"/>
      <c r="AT548" s="4"/>
      <c r="AU548" s="4"/>
      <c r="AV548" s="4"/>
      <c r="AW548" s="4"/>
      <c r="AX548" s="4"/>
      <c r="AY548" s="4"/>
      <c r="AZ548" s="4"/>
      <c r="BA548" s="4"/>
      <c r="BB548" s="4"/>
      <c r="BC548" s="4"/>
      <c r="BD548" s="4"/>
      <c r="BE548" s="4"/>
      <c r="BF548" s="4"/>
      <c r="BG548" s="4"/>
      <c r="BH548" s="4"/>
      <c r="BI548" s="4"/>
      <c r="BJ548" s="4"/>
      <c r="BK548" s="4"/>
      <c r="BL548" s="4"/>
      <c r="BM548" s="4"/>
      <c r="BN548" s="4"/>
      <c r="BO548" s="4"/>
      <c r="BP548" s="4"/>
      <c r="BQ548" s="4"/>
      <c r="BR548" s="4"/>
      <c r="BS548" s="4"/>
      <c r="BT548" s="4"/>
      <c r="BU548" s="4"/>
      <c r="BV548" s="4"/>
      <c r="BW548" s="4"/>
      <c r="BX548" s="4"/>
      <c r="BY548" s="4"/>
    </row>
    <row r="549" spans="1:77" x14ac:dyDescent="0.25">
      <c r="A549" s="53">
        <v>146</v>
      </c>
      <c r="B549" s="251" t="s">
        <v>301</v>
      </c>
      <c r="C549" s="326">
        <f>SUM(D549:O549)</f>
        <v>217387.41</v>
      </c>
      <c r="D549" s="239">
        <v>0</v>
      </c>
      <c r="E549" s="239">
        <v>0</v>
      </c>
      <c r="F549" s="239">
        <v>0</v>
      </c>
      <c r="G549" s="239">
        <v>0</v>
      </c>
      <c r="H549" s="239">
        <v>0</v>
      </c>
      <c r="I549" s="239">
        <v>0</v>
      </c>
      <c r="J549" s="239">
        <v>0</v>
      </c>
      <c r="K549" s="239">
        <v>0</v>
      </c>
      <c r="L549" s="239">
        <v>0</v>
      </c>
      <c r="M549" s="239">
        <f>162172.94-7205.89</f>
        <v>154967.04999999999</v>
      </c>
      <c r="N549" s="239">
        <v>55005.14</v>
      </c>
      <c r="O549" s="239">
        <v>7415.22</v>
      </c>
      <c r="V549" s="4"/>
      <c r="W549" s="4"/>
      <c r="X549" s="4"/>
      <c r="Y549" s="4"/>
      <c r="Z549" s="4"/>
      <c r="AA549" s="4"/>
      <c r="AB549" s="4"/>
      <c r="AC549" s="4"/>
      <c r="AD549" s="4"/>
      <c r="AE549" s="4"/>
      <c r="AF549" s="4"/>
      <c r="AG549" s="4"/>
      <c r="AH549" s="4"/>
      <c r="AI549" s="4"/>
      <c r="AJ549" s="4"/>
      <c r="AK549" s="4"/>
      <c r="AL549" s="4"/>
      <c r="AM549" s="4"/>
      <c r="AN549" s="4"/>
      <c r="AO549" s="4"/>
      <c r="AP549" s="4"/>
      <c r="AQ549" s="4"/>
      <c r="AR549" s="4"/>
      <c r="AS549" s="4"/>
      <c r="AT549" s="4"/>
      <c r="AU549" s="4"/>
      <c r="AV549" s="4"/>
      <c r="AW549" s="4"/>
      <c r="AX549" s="4"/>
      <c r="AY549" s="4"/>
      <c r="AZ549" s="4"/>
      <c r="BA549" s="4"/>
      <c r="BB549" s="4"/>
      <c r="BC549" s="4"/>
      <c r="BD549" s="4"/>
      <c r="BE549" s="4"/>
      <c r="BF549" s="4"/>
      <c r="BG549" s="4"/>
      <c r="BH549" s="4"/>
      <c r="BI549" s="4"/>
      <c r="BJ549" s="4"/>
      <c r="BK549" s="4"/>
      <c r="BL549" s="4"/>
      <c r="BM549" s="4"/>
      <c r="BN549" s="4"/>
      <c r="BO549" s="4"/>
      <c r="BP549" s="4"/>
      <c r="BQ549" s="4"/>
      <c r="BR549" s="4"/>
      <c r="BS549" s="4"/>
      <c r="BT549" s="4"/>
      <c r="BU549" s="4"/>
      <c r="BV549" s="4"/>
      <c r="BW549" s="4"/>
      <c r="BX549" s="4"/>
      <c r="BY549" s="4"/>
    </row>
    <row r="550" spans="1:77" x14ac:dyDescent="0.25">
      <c r="A550" s="53">
        <v>147</v>
      </c>
      <c r="B550" s="251" t="s">
        <v>302</v>
      </c>
      <c r="C550" s="326">
        <f t="shared" si="178"/>
        <v>0</v>
      </c>
      <c r="D550" s="239">
        <v>0</v>
      </c>
      <c r="E550" s="239">
        <v>0</v>
      </c>
      <c r="F550" s="239">
        <v>0</v>
      </c>
      <c r="G550" s="239">
        <v>0</v>
      </c>
      <c r="H550" s="239">
        <v>0</v>
      </c>
      <c r="I550" s="239">
        <v>0</v>
      </c>
      <c r="J550" s="239">
        <v>0</v>
      </c>
      <c r="K550" s="239">
        <v>0</v>
      </c>
      <c r="L550" s="239">
        <v>0</v>
      </c>
      <c r="M550" s="239">
        <v>0</v>
      </c>
      <c r="N550" s="239">
        <v>0</v>
      </c>
      <c r="O550" s="239">
        <v>0</v>
      </c>
      <c r="V550" s="4"/>
      <c r="W550" s="4"/>
      <c r="X550" s="4"/>
      <c r="Y550" s="4"/>
      <c r="Z550" s="4"/>
      <c r="AA550" s="4"/>
      <c r="AB550" s="4"/>
      <c r="AC550" s="4"/>
      <c r="AD550" s="4"/>
      <c r="AE550" s="4"/>
      <c r="AF550" s="4"/>
      <c r="AG550" s="4"/>
      <c r="AH550" s="4"/>
      <c r="AI550" s="4"/>
      <c r="AJ550" s="4"/>
      <c r="AK550" s="4"/>
      <c r="AL550" s="4"/>
      <c r="AM550" s="4"/>
      <c r="AN550" s="4"/>
      <c r="AO550" s="4"/>
      <c r="AP550" s="4"/>
      <c r="AQ550" s="4"/>
      <c r="AR550" s="4"/>
      <c r="AS550" s="4"/>
      <c r="AT550" s="4"/>
      <c r="AU550" s="4"/>
      <c r="AV550" s="4"/>
      <c r="AW550" s="4"/>
      <c r="AX550" s="4"/>
      <c r="AY550" s="4"/>
      <c r="AZ550" s="4"/>
      <c r="BA550" s="4"/>
      <c r="BB550" s="4"/>
      <c r="BC550" s="4"/>
      <c r="BD550" s="4"/>
      <c r="BE550" s="4"/>
      <c r="BF550" s="4"/>
      <c r="BG550" s="4"/>
      <c r="BH550" s="4"/>
      <c r="BI550" s="4"/>
      <c r="BJ550" s="4"/>
      <c r="BK550" s="4"/>
      <c r="BL550" s="4"/>
      <c r="BM550" s="4"/>
      <c r="BN550" s="4"/>
      <c r="BO550" s="4"/>
      <c r="BP550" s="4"/>
      <c r="BQ550" s="4"/>
      <c r="BR550" s="4"/>
      <c r="BS550" s="4"/>
      <c r="BT550" s="4"/>
      <c r="BU550" s="4"/>
      <c r="BV550" s="4"/>
      <c r="BW550" s="4"/>
      <c r="BX550" s="4"/>
      <c r="BY550" s="4"/>
    </row>
    <row r="551" spans="1:77" x14ac:dyDescent="0.25">
      <c r="A551" s="53">
        <v>148</v>
      </c>
      <c r="B551" s="251" t="s">
        <v>278</v>
      </c>
      <c r="C551" s="326">
        <f t="shared" si="178"/>
        <v>0</v>
      </c>
      <c r="D551" s="239">
        <v>0</v>
      </c>
      <c r="E551" s="239">
        <v>0</v>
      </c>
      <c r="F551" s="239">
        <v>0</v>
      </c>
      <c r="G551" s="239">
        <v>0</v>
      </c>
      <c r="H551" s="239">
        <v>0</v>
      </c>
      <c r="I551" s="239">
        <v>0</v>
      </c>
      <c r="J551" s="239">
        <v>0</v>
      </c>
      <c r="K551" s="239">
        <v>0</v>
      </c>
      <c r="L551" s="239">
        <v>0</v>
      </c>
      <c r="M551" s="239">
        <v>0</v>
      </c>
      <c r="N551" s="239">
        <v>0</v>
      </c>
      <c r="O551" s="239">
        <v>0</v>
      </c>
      <c r="V551" s="4"/>
      <c r="W551" s="4"/>
      <c r="X551" s="4"/>
      <c r="Y551" s="4"/>
      <c r="Z551" s="4"/>
      <c r="AA551" s="4"/>
      <c r="AB551" s="4"/>
      <c r="AC551" s="4"/>
      <c r="AD551" s="4"/>
      <c r="AE551" s="4"/>
      <c r="AF551" s="4"/>
      <c r="AG551" s="4"/>
      <c r="AH551" s="4"/>
      <c r="AI551" s="4"/>
      <c r="AJ551" s="4"/>
      <c r="AK551" s="4"/>
      <c r="AL551" s="4"/>
      <c r="AM551" s="4"/>
      <c r="AN551" s="4"/>
      <c r="AO551" s="4"/>
      <c r="AP551" s="4"/>
      <c r="AQ551" s="4"/>
      <c r="AR551" s="4"/>
      <c r="AS551" s="4"/>
      <c r="AT551" s="4"/>
      <c r="AU551" s="4"/>
      <c r="AV551" s="4"/>
      <c r="AW551" s="4"/>
      <c r="AX551" s="4"/>
      <c r="AY551" s="4"/>
      <c r="AZ551" s="4"/>
      <c r="BA551" s="4"/>
      <c r="BB551" s="4"/>
      <c r="BC551" s="4"/>
      <c r="BD551" s="4"/>
      <c r="BE551" s="4"/>
      <c r="BF551" s="4"/>
      <c r="BG551" s="4"/>
      <c r="BH551" s="4"/>
      <c r="BI551" s="4"/>
      <c r="BJ551" s="4"/>
      <c r="BK551" s="4"/>
      <c r="BL551" s="4"/>
      <c r="BM551" s="4"/>
      <c r="BN551" s="4"/>
      <c r="BO551" s="4"/>
      <c r="BP551" s="4"/>
      <c r="BQ551" s="4"/>
      <c r="BR551" s="4"/>
      <c r="BS551" s="4"/>
      <c r="BT551" s="4"/>
      <c r="BU551" s="4"/>
      <c r="BV551" s="4"/>
      <c r="BW551" s="4"/>
      <c r="BX551" s="4"/>
      <c r="BY551" s="4"/>
    </row>
    <row r="552" spans="1:77" x14ac:dyDescent="0.25">
      <c r="A552" s="53">
        <v>149</v>
      </c>
      <c r="B552" s="251" t="s">
        <v>276</v>
      </c>
      <c r="C552" s="326">
        <f t="shared" si="178"/>
        <v>0</v>
      </c>
      <c r="D552" s="239">
        <v>0</v>
      </c>
      <c r="E552" s="239">
        <v>0</v>
      </c>
      <c r="F552" s="239">
        <v>0</v>
      </c>
      <c r="G552" s="239">
        <v>0</v>
      </c>
      <c r="H552" s="239">
        <v>0</v>
      </c>
      <c r="I552" s="239">
        <v>0</v>
      </c>
      <c r="J552" s="239">
        <v>0</v>
      </c>
      <c r="K552" s="239">
        <v>0</v>
      </c>
      <c r="L552" s="239">
        <v>0</v>
      </c>
      <c r="M552" s="239">
        <v>0</v>
      </c>
      <c r="N552" s="239">
        <v>0</v>
      </c>
      <c r="O552" s="239">
        <v>0</v>
      </c>
      <c r="V552" s="4"/>
      <c r="W552" s="4"/>
      <c r="X552" s="4"/>
      <c r="Y552" s="4"/>
      <c r="Z552" s="4"/>
      <c r="AA552" s="4"/>
      <c r="AB552" s="4"/>
      <c r="AC552" s="4"/>
      <c r="AD552" s="4"/>
      <c r="AE552" s="4"/>
      <c r="AF552" s="4"/>
      <c r="AG552" s="4"/>
      <c r="AH552" s="4"/>
      <c r="AI552" s="4"/>
      <c r="AJ552" s="4"/>
      <c r="AK552" s="4"/>
      <c r="AL552" s="4"/>
      <c r="AM552" s="4"/>
      <c r="AN552" s="4"/>
      <c r="AO552" s="4"/>
      <c r="AP552" s="4"/>
      <c r="AQ552" s="4"/>
      <c r="AR552" s="4"/>
      <c r="AS552" s="4"/>
      <c r="AT552" s="4"/>
      <c r="AU552" s="4"/>
      <c r="AV552" s="4"/>
      <c r="AW552" s="4"/>
      <c r="AX552" s="4"/>
      <c r="AY552" s="4"/>
      <c r="AZ552" s="4"/>
      <c r="BA552" s="4"/>
      <c r="BB552" s="4"/>
      <c r="BC552" s="4"/>
      <c r="BD552" s="4"/>
      <c r="BE552" s="4"/>
      <c r="BF552" s="4"/>
      <c r="BG552" s="4"/>
      <c r="BH552" s="4"/>
      <c r="BI552" s="4"/>
      <c r="BJ552" s="4"/>
      <c r="BK552" s="4"/>
      <c r="BL552" s="4"/>
      <c r="BM552" s="4"/>
      <c r="BN552" s="4"/>
      <c r="BO552" s="4"/>
      <c r="BP552" s="4"/>
      <c r="BQ552" s="4"/>
      <c r="BR552" s="4"/>
      <c r="BS552" s="4"/>
      <c r="BT552" s="4"/>
      <c r="BU552" s="4"/>
      <c r="BV552" s="4"/>
      <c r="BW552" s="4"/>
      <c r="BX552" s="4"/>
      <c r="BY552" s="4"/>
    </row>
    <row r="553" spans="1:77" hidden="1" x14ac:dyDescent="0.25">
      <c r="A553" s="6">
        <v>150</v>
      </c>
      <c r="B553" s="27" t="s">
        <v>434</v>
      </c>
      <c r="C553" s="326">
        <f t="shared" si="178"/>
        <v>0</v>
      </c>
      <c r="D553" s="239">
        <v>0</v>
      </c>
      <c r="E553" s="239">
        <v>0</v>
      </c>
      <c r="F553" s="239">
        <v>0</v>
      </c>
      <c r="G553" s="239">
        <v>0</v>
      </c>
      <c r="H553" s="239">
        <v>0</v>
      </c>
      <c r="I553" s="239">
        <v>0</v>
      </c>
      <c r="J553" s="239">
        <v>0</v>
      </c>
      <c r="K553" s="239">
        <v>0</v>
      </c>
      <c r="L553" s="239">
        <v>0</v>
      </c>
      <c r="M553" s="239">
        <v>0</v>
      </c>
      <c r="N553" s="239">
        <v>0</v>
      </c>
      <c r="O553" s="239">
        <v>0</v>
      </c>
      <c r="V553" s="4"/>
      <c r="W553" s="4"/>
      <c r="X553" s="4"/>
      <c r="Y553" s="4"/>
      <c r="Z553" s="4"/>
      <c r="AA553" s="4"/>
      <c r="AB553" s="4"/>
      <c r="AC553" s="4"/>
      <c r="AD553" s="4"/>
      <c r="AE553" s="4"/>
      <c r="AF553" s="4"/>
      <c r="AG553" s="4"/>
      <c r="AH553" s="4"/>
      <c r="AI553" s="4"/>
      <c r="AJ553" s="4"/>
      <c r="AK553" s="4"/>
      <c r="AL553" s="4"/>
      <c r="AM553" s="4"/>
      <c r="AN553" s="4"/>
      <c r="AO553" s="4"/>
      <c r="AP553" s="4"/>
      <c r="AQ553" s="4"/>
      <c r="AR553" s="4"/>
      <c r="AS553" s="4"/>
      <c r="AT553" s="4"/>
      <c r="AU553" s="4"/>
      <c r="AV553" s="4"/>
      <c r="AW553" s="4"/>
      <c r="AX553" s="4"/>
      <c r="AY553" s="4"/>
      <c r="AZ553" s="4"/>
      <c r="BA553" s="4"/>
      <c r="BB553" s="4"/>
      <c r="BC553" s="4"/>
      <c r="BD553" s="4"/>
      <c r="BE553" s="4"/>
      <c r="BF553" s="4"/>
      <c r="BG553" s="4"/>
      <c r="BH553" s="4"/>
      <c r="BI553" s="4"/>
      <c r="BJ553" s="4"/>
      <c r="BK553" s="4"/>
      <c r="BL553" s="4"/>
      <c r="BM553" s="4"/>
      <c r="BN553" s="4"/>
      <c r="BO553" s="4"/>
      <c r="BP553" s="4"/>
      <c r="BQ553" s="4"/>
      <c r="BR553" s="4"/>
      <c r="BS553" s="4"/>
      <c r="BT553" s="4"/>
      <c r="BU553" s="4"/>
      <c r="BV553" s="4"/>
      <c r="BW553" s="4"/>
      <c r="BX553" s="4"/>
      <c r="BY553" s="4"/>
    </row>
    <row r="554" spans="1:77" ht="13.5" customHeight="1" x14ac:dyDescent="0.25">
      <c r="A554" s="53">
        <v>151</v>
      </c>
      <c r="B554" s="251" t="s">
        <v>303</v>
      </c>
      <c r="C554" s="326">
        <f t="shared" si="178"/>
        <v>56100</v>
      </c>
      <c r="D554" s="239">
        <v>0</v>
      </c>
      <c r="E554" s="239">
        <v>0</v>
      </c>
      <c r="F554" s="239">
        <v>0</v>
      </c>
      <c r="G554" s="239">
        <v>0</v>
      </c>
      <c r="H554" s="239">
        <v>0</v>
      </c>
      <c r="I554" s="239">
        <v>0</v>
      </c>
      <c r="J554" s="239">
        <v>0</v>
      </c>
      <c r="K554" s="239">
        <v>0</v>
      </c>
      <c r="L554" s="239">
        <v>0</v>
      </c>
      <c r="M554" s="239">
        <v>56100</v>
      </c>
      <c r="N554" s="239">
        <v>0</v>
      </c>
      <c r="O554" s="239">
        <v>0</v>
      </c>
      <c r="V554" s="4"/>
      <c r="W554" s="4"/>
      <c r="X554" s="4"/>
      <c r="Y554" s="4"/>
      <c r="Z554" s="4"/>
      <c r="AA554" s="4"/>
      <c r="AB554" s="4"/>
      <c r="AC554" s="4"/>
      <c r="AD554" s="4"/>
      <c r="AE554" s="4"/>
      <c r="AF554" s="4"/>
      <c r="AG554" s="4"/>
      <c r="AH554" s="4"/>
      <c r="AI554" s="4"/>
      <c r="AJ554" s="4"/>
      <c r="AK554" s="4"/>
      <c r="AL554" s="4"/>
      <c r="AM554" s="4"/>
      <c r="AN554" s="4"/>
      <c r="AO554" s="4"/>
      <c r="AP554" s="4"/>
      <c r="AQ554" s="4"/>
      <c r="AR554" s="4"/>
      <c r="AS554" s="4"/>
      <c r="AT554" s="4"/>
      <c r="AU554" s="4"/>
      <c r="AV554" s="4"/>
      <c r="AW554" s="4"/>
      <c r="AX554" s="4"/>
      <c r="AY554" s="4"/>
      <c r="AZ554" s="4"/>
      <c r="BA554" s="4"/>
      <c r="BB554" s="4"/>
      <c r="BC554" s="4"/>
      <c r="BD554" s="4"/>
      <c r="BE554" s="4"/>
      <c r="BF554" s="4"/>
      <c r="BG554" s="4"/>
      <c r="BH554" s="4"/>
      <c r="BI554" s="4"/>
      <c r="BJ554" s="4"/>
      <c r="BK554" s="4"/>
      <c r="BL554" s="4"/>
      <c r="BM554" s="4"/>
      <c r="BN554" s="4"/>
      <c r="BO554" s="4"/>
      <c r="BP554" s="4"/>
      <c r="BQ554" s="4"/>
      <c r="BR554" s="4"/>
      <c r="BS554" s="4"/>
      <c r="BT554" s="4"/>
      <c r="BU554" s="4"/>
      <c r="BV554" s="4"/>
      <c r="BW554" s="4"/>
      <c r="BX554" s="4"/>
      <c r="BY554" s="4"/>
    </row>
    <row r="555" spans="1:77" ht="13.5" customHeight="1" x14ac:dyDescent="0.25">
      <c r="A555" s="53">
        <v>236</v>
      </c>
      <c r="B555" s="251" t="s">
        <v>436</v>
      </c>
      <c r="C555" s="326">
        <f t="shared" si="178"/>
        <v>8925.2999999999993</v>
      </c>
      <c r="D555" s="239">
        <v>0</v>
      </c>
      <c r="E555" s="239">
        <v>0</v>
      </c>
      <c r="F555" s="239">
        <v>0</v>
      </c>
      <c r="G555" s="239">
        <v>0</v>
      </c>
      <c r="H555" s="239">
        <v>0</v>
      </c>
      <c r="I555" s="239">
        <v>0</v>
      </c>
      <c r="J555" s="239">
        <v>0</v>
      </c>
      <c r="K555" s="239">
        <v>0</v>
      </c>
      <c r="L555" s="239">
        <v>0</v>
      </c>
      <c r="M555" s="239">
        <v>0</v>
      </c>
      <c r="N555" s="239">
        <v>8925.2999999999993</v>
      </c>
      <c r="O555" s="239">
        <v>0</v>
      </c>
      <c r="V555" s="4"/>
      <c r="W555" s="4"/>
      <c r="X555" s="4"/>
      <c r="Y555" s="4"/>
      <c r="Z555" s="4"/>
      <c r="AA555" s="4"/>
      <c r="AB555" s="4"/>
      <c r="AC555" s="4"/>
      <c r="AD555" s="4"/>
      <c r="AE555" s="4"/>
      <c r="AF555" s="4"/>
      <c r="AG555" s="4"/>
      <c r="AH555" s="4"/>
      <c r="AI555" s="4"/>
      <c r="AJ555" s="4"/>
      <c r="AK555" s="4"/>
      <c r="AL555" s="4"/>
      <c r="AM555" s="4"/>
      <c r="AN555" s="4"/>
      <c r="AO555" s="4"/>
      <c r="AP555" s="4"/>
      <c r="AQ555" s="4"/>
      <c r="AR555" s="4"/>
      <c r="AS555" s="4"/>
      <c r="AT555" s="4"/>
      <c r="AU555" s="4"/>
      <c r="AV555" s="4"/>
      <c r="AW555" s="4"/>
      <c r="AX555" s="4"/>
      <c r="AY555" s="4"/>
      <c r="AZ555" s="4"/>
      <c r="BA555" s="4"/>
      <c r="BB555" s="4"/>
      <c r="BC555" s="4"/>
      <c r="BD555" s="4"/>
      <c r="BE555" s="4"/>
      <c r="BF555" s="4"/>
      <c r="BG555" s="4"/>
      <c r="BH555" s="4"/>
      <c r="BI555" s="4"/>
      <c r="BJ555" s="4"/>
      <c r="BK555" s="4"/>
      <c r="BL555" s="4"/>
      <c r="BM555" s="4"/>
      <c r="BN555" s="4"/>
      <c r="BO555" s="4"/>
      <c r="BP555" s="4"/>
      <c r="BQ555" s="4"/>
      <c r="BR555" s="4"/>
      <c r="BS555" s="4"/>
      <c r="BT555" s="4"/>
      <c r="BU555" s="4"/>
      <c r="BV555" s="4"/>
      <c r="BW555" s="4"/>
      <c r="BX555" s="4"/>
      <c r="BY555" s="4"/>
    </row>
    <row r="556" spans="1:77" ht="13.5" hidden="1" customHeight="1" x14ac:dyDescent="0.25">
      <c r="A556" s="53">
        <v>245</v>
      </c>
      <c r="B556" s="251" t="s">
        <v>304</v>
      </c>
      <c r="C556" s="326">
        <f t="shared" si="178"/>
        <v>0</v>
      </c>
      <c r="D556" s="239">
        <v>0</v>
      </c>
      <c r="E556" s="239">
        <v>0</v>
      </c>
      <c r="F556" s="239">
        <v>0</v>
      </c>
      <c r="G556" s="239">
        <v>0</v>
      </c>
      <c r="H556" s="239">
        <v>0</v>
      </c>
      <c r="I556" s="239">
        <v>0</v>
      </c>
      <c r="J556" s="239">
        <v>0</v>
      </c>
      <c r="K556" s="239">
        <v>0</v>
      </c>
      <c r="L556" s="239">
        <v>0</v>
      </c>
      <c r="M556" s="239">
        <v>0</v>
      </c>
      <c r="N556" s="239">
        <v>0</v>
      </c>
      <c r="O556" s="239">
        <v>0</v>
      </c>
      <c r="V556" s="4"/>
      <c r="W556" s="4"/>
      <c r="X556" s="4"/>
      <c r="Y556" s="4"/>
      <c r="Z556" s="4"/>
      <c r="AA556" s="4"/>
      <c r="AB556" s="4"/>
      <c r="AC556" s="4"/>
      <c r="AD556" s="4"/>
      <c r="AE556" s="4"/>
      <c r="AF556" s="4"/>
      <c r="AG556" s="4"/>
      <c r="AH556" s="4"/>
      <c r="AI556" s="4"/>
      <c r="AJ556" s="4"/>
      <c r="AK556" s="4"/>
      <c r="AL556" s="4"/>
      <c r="AM556" s="4"/>
      <c r="AN556" s="4"/>
      <c r="AO556" s="4"/>
      <c r="AP556" s="4"/>
      <c r="AQ556" s="4"/>
      <c r="AR556" s="4"/>
      <c r="AS556" s="4"/>
      <c r="AT556" s="4"/>
      <c r="AU556" s="4"/>
      <c r="AV556" s="4"/>
      <c r="AW556" s="4"/>
      <c r="AX556" s="4"/>
      <c r="AY556" s="4"/>
      <c r="AZ556" s="4"/>
      <c r="BA556" s="4"/>
      <c r="BB556" s="4"/>
      <c r="BC556" s="4"/>
      <c r="BD556" s="4"/>
      <c r="BE556" s="4"/>
      <c r="BF556" s="4"/>
      <c r="BG556" s="4"/>
      <c r="BH556" s="4"/>
      <c r="BI556" s="4"/>
      <c r="BJ556" s="4"/>
      <c r="BK556" s="4"/>
      <c r="BL556" s="4"/>
      <c r="BM556" s="4"/>
      <c r="BN556" s="4"/>
      <c r="BO556" s="4"/>
      <c r="BP556" s="4"/>
      <c r="BQ556" s="4"/>
      <c r="BR556" s="4"/>
      <c r="BS556" s="4"/>
      <c r="BT556" s="4"/>
      <c r="BU556" s="4"/>
      <c r="BV556" s="4"/>
      <c r="BW556" s="4"/>
      <c r="BX556" s="4"/>
      <c r="BY556" s="4"/>
    </row>
    <row r="557" spans="1:77" x14ac:dyDescent="0.25">
      <c r="A557" s="53">
        <v>252</v>
      </c>
      <c r="B557" s="251" t="s">
        <v>208</v>
      </c>
      <c r="C557" s="326">
        <f t="shared" si="178"/>
        <v>112.83</v>
      </c>
      <c r="D557" s="239">
        <v>0</v>
      </c>
      <c r="E557" s="239">
        <v>0</v>
      </c>
      <c r="F557" s="239">
        <v>0</v>
      </c>
      <c r="G557" s="239">
        <v>0</v>
      </c>
      <c r="H557" s="239">
        <v>0</v>
      </c>
      <c r="I557" s="239">
        <v>0</v>
      </c>
      <c r="J557" s="239">
        <v>0</v>
      </c>
      <c r="K557" s="239">
        <v>0</v>
      </c>
      <c r="L557" s="239">
        <v>0</v>
      </c>
      <c r="M557" s="239">
        <v>0</v>
      </c>
      <c r="N557" s="239">
        <v>0</v>
      </c>
      <c r="O557" s="239">
        <v>112.83</v>
      </c>
      <c r="V557" s="4"/>
      <c r="W557" s="4"/>
      <c r="X557" s="4"/>
      <c r="Y557" s="4"/>
      <c r="Z557" s="4"/>
      <c r="AA557" s="4"/>
      <c r="AB557" s="4"/>
      <c r="AC557" s="4"/>
      <c r="AD557" s="4"/>
      <c r="AE557" s="4"/>
      <c r="AF557" s="4"/>
      <c r="AG557" s="4"/>
      <c r="AH557" s="4"/>
      <c r="AI557" s="4"/>
      <c r="AJ557" s="4"/>
      <c r="AK557" s="4"/>
      <c r="AL557" s="4"/>
      <c r="AM557" s="4"/>
      <c r="AN557" s="4"/>
      <c r="AO557" s="4"/>
      <c r="AP557" s="4"/>
      <c r="AQ557" s="4"/>
      <c r="AR557" s="4"/>
      <c r="AS557" s="4"/>
      <c r="AT557" s="4"/>
      <c r="AU557" s="4"/>
      <c r="AV557" s="4"/>
      <c r="AW557" s="4"/>
      <c r="AX557" s="4"/>
      <c r="AY557" s="4"/>
      <c r="AZ557" s="4"/>
      <c r="BA557" s="4"/>
      <c r="BB557" s="4"/>
      <c r="BC557" s="4"/>
      <c r="BD557" s="4"/>
      <c r="BE557" s="4"/>
      <c r="BF557" s="4"/>
      <c r="BG557" s="4"/>
      <c r="BH557" s="4"/>
      <c r="BI557" s="4"/>
      <c r="BJ557" s="4"/>
      <c r="BK557" s="4"/>
      <c r="BL557" s="4"/>
      <c r="BM557" s="4"/>
      <c r="BN557" s="4"/>
      <c r="BO557" s="4"/>
      <c r="BP557" s="4"/>
      <c r="BQ557" s="4"/>
      <c r="BR557" s="4"/>
      <c r="BS557" s="4"/>
      <c r="BT557" s="4"/>
      <c r="BU557" s="4"/>
      <c r="BV557" s="4"/>
      <c r="BW557" s="4"/>
      <c r="BX557" s="4"/>
      <c r="BY557" s="4"/>
    </row>
    <row r="558" spans="1:77" x14ac:dyDescent="0.25">
      <c r="A558" s="53">
        <v>284</v>
      </c>
      <c r="B558" s="251" t="s">
        <v>305</v>
      </c>
      <c r="C558" s="326">
        <f t="shared" si="178"/>
        <v>0</v>
      </c>
      <c r="D558" s="239">
        <v>0</v>
      </c>
      <c r="E558" s="239">
        <v>0</v>
      </c>
      <c r="F558" s="239">
        <v>0</v>
      </c>
      <c r="G558" s="239">
        <v>0</v>
      </c>
      <c r="H558" s="239">
        <v>0</v>
      </c>
      <c r="I558" s="239">
        <v>0</v>
      </c>
      <c r="J558" s="239">
        <v>0</v>
      </c>
      <c r="K558" s="239">
        <v>0</v>
      </c>
      <c r="L558" s="239">
        <v>0</v>
      </c>
      <c r="M558" s="239">
        <v>0</v>
      </c>
      <c r="N558" s="239">
        <v>0</v>
      </c>
      <c r="O558" s="239">
        <v>0</v>
      </c>
      <c r="V558" s="4"/>
      <c r="W558" s="4"/>
      <c r="X558" s="4"/>
      <c r="Y558" s="4"/>
      <c r="Z558" s="4"/>
      <c r="AA558" s="4"/>
      <c r="AB558" s="4"/>
      <c r="AC558" s="4"/>
      <c r="AD558" s="4"/>
      <c r="AE558" s="4"/>
      <c r="AF558" s="4"/>
      <c r="AG558" s="4"/>
      <c r="AH558" s="4"/>
      <c r="AI558" s="4"/>
      <c r="AJ558" s="4"/>
      <c r="AK558" s="4"/>
      <c r="AL558" s="4"/>
      <c r="AM558" s="4"/>
      <c r="AN558" s="4"/>
      <c r="AO558" s="4"/>
      <c r="AP558" s="4"/>
      <c r="AQ558" s="4"/>
      <c r="AR558" s="4"/>
      <c r="AS558" s="4"/>
      <c r="AT558" s="4"/>
      <c r="AU558" s="4"/>
      <c r="AV558" s="4"/>
      <c r="AW558" s="4"/>
      <c r="AX558" s="4"/>
      <c r="AY558" s="4"/>
      <c r="AZ558" s="4"/>
      <c r="BA558" s="4"/>
      <c r="BB558" s="4"/>
      <c r="BC558" s="4"/>
      <c r="BD558" s="4"/>
      <c r="BE558" s="4"/>
      <c r="BF558" s="4"/>
      <c r="BG558" s="4"/>
      <c r="BH558" s="4"/>
      <c r="BI558" s="4"/>
      <c r="BJ558" s="4"/>
      <c r="BK558" s="4"/>
      <c r="BL558" s="4"/>
      <c r="BM558" s="4"/>
      <c r="BN558" s="4"/>
      <c r="BO558" s="4"/>
      <c r="BP558" s="4"/>
      <c r="BQ558" s="4"/>
      <c r="BR558" s="4"/>
      <c r="BS558" s="4"/>
      <c r="BT558" s="4"/>
      <c r="BU558" s="4"/>
      <c r="BV558" s="4"/>
      <c r="BW558" s="4"/>
      <c r="BX558" s="4"/>
      <c r="BY558" s="4"/>
    </row>
    <row r="559" spans="1:77" x14ac:dyDescent="0.25">
      <c r="A559" s="53">
        <v>289</v>
      </c>
      <c r="B559" s="251" t="s">
        <v>306</v>
      </c>
      <c r="C559" s="326">
        <f t="shared" si="178"/>
        <v>0</v>
      </c>
      <c r="D559" s="239">
        <v>0</v>
      </c>
      <c r="E559" s="239">
        <v>0</v>
      </c>
      <c r="F559" s="239">
        <v>0</v>
      </c>
      <c r="G559" s="239">
        <v>0</v>
      </c>
      <c r="H559" s="239">
        <v>0</v>
      </c>
      <c r="I559" s="239">
        <v>0</v>
      </c>
      <c r="J559" s="239">
        <v>0</v>
      </c>
      <c r="K559" s="239">
        <v>0</v>
      </c>
      <c r="L559" s="239">
        <v>0</v>
      </c>
      <c r="M559" s="239">
        <v>0</v>
      </c>
      <c r="N559" s="239">
        <v>0</v>
      </c>
      <c r="O559" s="239">
        <v>0</v>
      </c>
      <c r="V559" s="4"/>
      <c r="W559" s="4"/>
      <c r="X559" s="4"/>
      <c r="Y559" s="4"/>
      <c r="Z559" s="4"/>
      <c r="AA559" s="4"/>
      <c r="AB559" s="4"/>
      <c r="AC559" s="4"/>
      <c r="AD559" s="4"/>
      <c r="AE559" s="4"/>
      <c r="AF559" s="4"/>
      <c r="AG559" s="4"/>
      <c r="AH559" s="4"/>
      <c r="AI559" s="4"/>
      <c r="AJ559" s="4"/>
      <c r="AK559" s="4"/>
      <c r="AL559" s="4"/>
      <c r="AM559" s="4"/>
      <c r="AN559" s="4"/>
      <c r="AO559" s="4"/>
      <c r="AP559" s="4"/>
      <c r="AQ559" s="4"/>
      <c r="AR559" s="4"/>
      <c r="AS559" s="4"/>
      <c r="AT559" s="4"/>
      <c r="AU559" s="4"/>
      <c r="AV559" s="4"/>
      <c r="AW559" s="4"/>
      <c r="AX559" s="4"/>
      <c r="AY559" s="4"/>
      <c r="AZ559" s="4"/>
      <c r="BA559" s="4"/>
      <c r="BB559" s="4"/>
      <c r="BC559" s="4"/>
      <c r="BD559" s="4"/>
      <c r="BE559" s="4"/>
      <c r="BF559" s="4"/>
      <c r="BG559" s="4"/>
      <c r="BH559" s="4"/>
      <c r="BI559" s="4"/>
      <c r="BJ559" s="4"/>
      <c r="BK559" s="4"/>
      <c r="BL559" s="4"/>
      <c r="BM559" s="4"/>
      <c r="BN559" s="4"/>
      <c r="BO559" s="4"/>
      <c r="BP559" s="4"/>
      <c r="BQ559" s="4"/>
      <c r="BR559" s="4"/>
      <c r="BS559" s="4"/>
      <c r="BT559" s="4"/>
      <c r="BU559" s="4"/>
      <c r="BV559" s="4"/>
      <c r="BW559" s="4"/>
      <c r="BX559" s="4"/>
      <c r="BY559" s="4"/>
    </row>
    <row r="560" spans="1:77" x14ac:dyDescent="0.25">
      <c r="A560" s="6">
        <v>312</v>
      </c>
      <c r="B560" s="27" t="s">
        <v>307</v>
      </c>
      <c r="C560" s="329">
        <f t="shared" si="178"/>
        <v>0</v>
      </c>
      <c r="D560" s="239">
        <v>0</v>
      </c>
      <c r="E560" s="239">
        <v>0</v>
      </c>
      <c r="F560" s="239">
        <v>0</v>
      </c>
      <c r="G560" s="239">
        <v>0</v>
      </c>
      <c r="H560" s="239">
        <v>0</v>
      </c>
      <c r="I560" s="239">
        <v>0</v>
      </c>
      <c r="J560" s="239">
        <v>0</v>
      </c>
      <c r="K560" s="239">
        <v>0</v>
      </c>
      <c r="L560" s="239">
        <v>0</v>
      </c>
      <c r="M560" s="239">
        <v>0</v>
      </c>
      <c r="N560" s="239">
        <v>0</v>
      </c>
      <c r="O560" s="239">
        <v>0</v>
      </c>
      <c r="V560" s="4"/>
      <c r="W560" s="4"/>
      <c r="X560" s="4"/>
      <c r="Y560" s="4"/>
      <c r="Z560" s="4"/>
      <c r="AA560" s="4"/>
      <c r="AB560" s="4"/>
      <c r="AC560" s="4"/>
      <c r="AD560" s="4"/>
      <c r="AE560" s="4"/>
      <c r="AF560" s="4"/>
      <c r="AG560" s="4"/>
      <c r="AH560" s="4"/>
      <c r="AI560" s="4"/>
      <c r="AJ560" s="4"/>
      <c r="AK560" s="4"/>
      <c r="AL560" s="4"/>
      <c r="AM560" s="4"/>
      <c r="AN560" s="4"/>
      <c r="AO560" s="4"/>
      <c r="AP560" s="4"/>
      <c r="AQ560" s="4"/>
      <c r="AR560" s="4"/>
      <c r="AS560" s="4"/>
      <c r="AT560" s="4"/>
      <c r="AU560" s="4"/>
      <c r="AV560" s="4"/>
      <c r="AW560" s="4"/>
      <c r="AX560" s="4"/>
      <c r="AY560" s="4"/>
      <c r="AZ560" s="4"/>
      <c r="BA560" s="4"/>
      <c r="BB560" s="4"/>
      <c r="BC560" s="4"/>
      <c r="BD560" s="4"/>
      <c r="BE560" s="4"/>
      <c r="BF560" s="4"/>
      <c r="BG560" s="4"/>
      <c r="BH560" s="4"/>
      <c r="BI560" s="4"/>
      <c r="BJ560" s="4"/>
      <c r="BK560" s="4"/>
      <c r="BL560" s="4"/>
      <c r="BM560" s="4"/>
      <c r="BN560" s="4"/>
      <c r="BO560" s="4"/>
      <c r="BP560" s="4"/>
      <c r="BQ560" s="4"/>
      <c r="BR560" s="4"/>
      <c r="BS560" s="4"/>
      <c r="BT560" s="4"/>
      <c r="BU560" s="4"/>
      <c r="BV560" s="4"/>
      <c r="BW560" s="4"/>
      <c r="BX560" s="4"/>
      <c r="BY560" s="4"/>
    </row>
    <row r="561" spans="1:77" x14ac:dyDescent="0.25">
      <c r="A561" s="6">
        <v>320</v>
      </c>
      <c r="B561" s="27" t="s">
        <v>308</v>
      </c>
      <c r="C561" s="326">
        <f t="shared" si="178"/>
        <v>0</v>
      </c>
      <c r="D561" s="239">
        <v>0</v>
      </c>
      <c r="E561" s="239">
        <v>0</v>
      </c>
      <c r="F561" s="239">
        <v>0</v>
      </c>
      <c r="G561" s="239">
        <v>0</v>
      </c>
      <c r="H561" s="239">
        <v>0</v>
      </c>
      <c r="I561" s="239">
        <v>0</v>
      </c>
      <c r="J561" s="239">
        <v>0</v>
      </c>
      <c r="K561" s="239">
        <v>0</v>
      </c>
      <c r="L561" s="239">
        <v>0</v>
      </c>
      <c r="M561" s="239">
        <v>0</v>
      </c>
      <c r="N561" s="239">
        <v>0</v>
      </c>
      <c r="O561" s="239">
        <v>0</v>
      </c>
      <c r="V561" s="4"/>
      <c r="W561" s="4"/>
      <c r="X561" s="4"/>
      <c r="Y561" s="4"/>
      <c r="Z561" s="4"/>
      <c r="AA561" s="4"/>
      <c r="AB561" s="4"/>
      <c r="AC561" s="4"/>
      <c r="AD561" s="4"/>
      <c r="AE561" s="4"/>
      <c r="AF561" s="4"/>
      <c r="AG561" s="4"/>
      <c r="AH561" s="4"/>
      <c r="AI561" s="4"/>
      <c r="AJ561" s="4"/>
      <c r="AK561" s="4"/>
      <c r="AL561" s="4"/>
      <c r="AM561" s="4"/>
      <c r="AN561" s="4"/>
      <c r="AO561" s="4"/>
      <c r="AP561" s="4"/>
      <c r="AQ561" s="4"/>
      <c r="AR561" s="4"/>
      <c r="AS561" s="4"/>
      <c r="AT561" s="4"/>
      <c r="AU561" s="4"/>
      <c r="AV561" s="4"/>
      <c r="AW561" s="4"/>
      <c r="AX561" s="4"/>
      <c r="AY561" s="4"/>
      <c r="AZ561" s="4"/>
      <c r="BA561" s="4"/>
      <c r="BB561" s="4"/>
      <c r="BC561" s="4"/>
      <c r="BD561" s="4"/>
      <c r="BE561" s="4"/>
      <c r="BF561" s="4"/>
      <c r="BG561" s="4"/>
      <c r="BH561" s="4"/>
      <c r="BI561" s="4"/>
      <c r="BJ561" s="4"/>
      <c r="BK561" s="4"/>
      <c r="BL561" s="4"/>
      <c r="BM561" s="4"/>
      <c r="BN561" s="4"/>
      <c r="BO561" s="4"/>
      <c r="BP561" s="4"/>
      <c r="BQ561" s="4"/>
      <c r="BR561" s="4"/>
      <c r="BS561" s="4"/>
      <c r="BT561" s="4"/>
      <c r="BU561" s="4"/>
      <c r="BV561" s="4"/>
      <c r="BW561" s="4"/>
      <c r="BX561" s="4"/>
      <c r="BY561" s="4"/>
    </row>
    <row r="562" spans="1:77" x14ac:dyDescent="0.25">
      <c r="A562" s="6">
        <v>333</v>
      </c>
      <c r="B562" s="27" t="s">
        <v>309</v>
      </c>
      <c r="C562" s="328">
        <f t="shared" si="178"/>
        <v>44475.33</v>
      </c>
      <c r="D562" s="239">
        <v>0</v>
      </c>
      <c r="E562" s="239">
        <v>0</v>
      </c>
      <c r="F562" s="239">
        <v>0</v>
      </c>
      <c r="G562" s="239">
        <v>0</v>
      </c>
      <c r="H562" s="239">
        <v>0</v>
      </c>
      <c r="I562" s="239">
        <v>0</v>
      </c>
      <c r="J562" s="239">
        <v>0</v>
      </c>
      <c r="K562" s="239">
        <v>0</v>
      </c>
      <c r="L562" s="239">
        <v>0</v>
      </c>
      <c r="M562" s="239">
        <v>2726.55</v>
      </c>
      <c r="N562" s="239">
        <v>35672.5</v>
      </c>
      <c r="O562" s="239">
        <v>6076.28</v>
      </c>
      <c r="V562" s="4"/>
      <c r="W562" s="4"/>
      <c r="X562" s="4"/>
      <c r="Y562" s="4"/>
      <c r="Z562" s="4"/>
      <c r="AA562" s="4"/>
      <c r="AB562" s="4"/>
      <c r="AC562" s="4"/>
      <c r="AD562" s="4"/>
      <c r="AE562" s="4"/>
      <c r="AF562" s="4"/>
      <c r="AG562" s="4"/>
      <c r="AH562" s="4"/>
      <c r="AI562" s="4"/>
      <c r="AJ562" s="4"/>
      <c r="AK562" s="4"/>
      <c r="AL562" s="4"/>
      <c r="AM562" s="4"/>
      <c r="AN562" s="4"/>
      <c r="AO562" s="4"/>
      <c r="AP562" s="4"/>
      <c r="AQ562" s="4"/>
      <c r="AR562" s="4"/>
      <c r="AS562" s="4"/>
      <c r="AT562" s="4"/>
      <c r="AU562" s="4"/>
      <c r="AV562" s="4"/>
      <c r="AW562" s="4"/>
      <c r="AX562" s="4"/>
      <c r="AY562" s="4"/>
      <c r="AZ562" s="4"/>
      <c r="BA562" s="4"/>
      <c r="BB562" s="4"/>
      <c r="BC562" s="4"/>
      <c r="BD562" s="4"/>
      <c r="BE562" s="4"/>
      <c r="BF562" s="4"/>
      <c r="BG562" s="4"/>
      <c r="BH562" s="4"/>
      <c r="BI562" s="4"/>
      <c r="BJ562" s="4"/>
      <c r="BK562" s="4"/>
      <c r="BL562" s="4"/>
      <c r="BM562" s="4"/>
      <c r="BN562" s="4"/>
      <c r="BO562" s="4"/>
      <c r="BP562" s="4"/>
      <c r="BQ562" s="4"/>
      <c r="BR562" s="4"/>
      <c r="BS562" s="4"/>
      <c r="BT562" s="4"/>
      <c r="BU562" s="4"/>
      <c r="BV562" s="4"/>
      <c r="BW562" s="4"/>
      <c r="BX562" s="4"/>
      <c r="BY562" s="4"/>
    </row>
    <row r="563" spans="1:77" hidden="1" x14ac:dyDescent="0.25">
      <c r="A563" s="6">
        <v>436</v>
      </c>
      <c r="B563" s="27" t="s">
        <v>310</v>
      </c>
      <c r="C563" s="241">
        <f t="shared" si="178"/>
        <v>0</v>
      </c>
      <c r="D563" s="239">
        <v>0</v>
      </c>
      <c r="E563" s="239">
        <v>0</v>
      </c>
      <c r="F563" s="239">
        <v>0</v>
      </c>
      <c r="G563" s="239">
        <v>0</v>
      </c>
      <c r="H563" s="239">
        <v>0</v>
      </c>
      <c r="I563" s="239">
        <v>0</v>
      </c>
      <c r="J563" s="239">
        <v>0</v>
      </c>
      <c r="K563" s="239">
        <v>0</v>
      </c>
      <c r="L563" s="239">
        <v>0</v>
      </c>
      <c r="M563" s="239">
        <v>0</v>
      </c>
      <c r="N563" s="239">
        <v>0</v>
      </c>
      <c r="O563" s="239">
        <v>0</v>
      </c>
      <c r="V563" s="4"/>
      <c r="W563" s="4"/>
      <c r="X563" s="4"/>
      <c r="Y563" s="4"/>
      <c r="Z563" s="4"/>
      <c r="AA563" s="4"/>
      <c r="AB563" s="4"/>
      <c r="AC563" s="4"/>
      <c r="AD563" s="4"/>
      <c r="AE563" s="4"/>
      <c r="AF563" s="4"/>
      <c r="AG563" s="4"/>
      <c r="AH563" s="4"/>
      <c r="AI563" s="4"/>
      <c r="AJ563" s="4"/>
      <c r="AK563" s="4"/>
      <c r="AL563" s="4"/>
      <c r="AM563" s="4"/>
      <c r="AN563" s="4"/>
      <c r="AO563" s="4"/>
      <c r="AP563" s="4"/>
      <c r="AQ563" s="4"/>
      <c r="AR563" s="4"/>
      <c r="AS563" s="4"/>
      <c r="AT563" s="4"/>
      <c r="AU563" s="4"/>
      <c r="AV563" s="4"/>
      <c r="AW563" s="4"/>
      <c r="AX563" s="4"/>
      <c r="AY563" s="4"/>
      <c r="AZ563" s="4"/>
      <c r="BA563" s="4"/>
      <c r="BB563" s="4"/>
      <c r="BC563" s="4"/>
      <c r="BD563" s="4"/>
      <c r="BE563" s="4"/>
      <c r="BF563" s="4"/>
      <c r="BG563" s="4"/>
      <c r="BH563" s="4"/>
      <c r="BI563" s="4"/>
      <c r="BJ563" s="4"/>
      <c r="BK563" s="4"/>
      <c r="BL563" s="4"/>
      <c r="BM563" s="4"/>
      <c r="BN563" s="4"/>
      <c r="BO563" s="4"/>
      <c r="BP563" s="4"/>
      <c r="BQ563" s="4"/>
      <c r="BR563" s="4"/>
      <c r="BS563" s="4"/>
      <c r="BT563" s="4"/>
      <c r="BU563" s="4"/>
      <c r="BV563" s="4"/>
      <c r="BW563" s="4"/>
      <c r="BX563" s="4"/>
      <c r="BY563" s="4"/>
    </row>
    <row r="564" spans="1:77" hidden="1" x14ac:dyDescent="0.25">
      <c r="A564" s="6">
        <v>484</v>
      </c>
      <c r="B564" s="27" t="s">
        <v>311</v>
      </c>
      <c r="C564" s="241">
        <f t="shared" si="178"/>
        <v>0</v>
      </c>
      <c r="D564" s="239">
        <v>0</v>
      </c>
      <c r="E564" s="239">
        <v>0</v>
      </c>
      <c r="F564" s="239">
        <v>0</v>
      </c>
      <c r="G564" s="239">
        <v>0</v>
      </c>
      <c r="H564" s="239">
        <v>0</v>
      </c>
      <c r="I564" s="239">
        <v>0</v>
      </c>
      <c r="J564" s="239">
        <v>0</v>
      </c>
      <c r="K564" s="239">
        <v>0</v>
      </c>
      <c r="L564" s="239">
        <v>0</v>
      </c>
      <c r="M564" s="239">
        <v>0</v>
      </c>
      <c r="N564" s="239">
        <v>0</v>
      </c>
      <c r="O564" s="239">
        <v>0</v>
      </c>
      <c r="V564" s="4"/>
      <c r="W564" s="4"/>
      <c r="X564" s="4"/>
      <c r="Y564" s="4"/>
      <c r="Z564" s="4"/>
      <c r="AA564" s="4"/>
      <c r="AB564" s="4"/>
      <c r="AC564" s="4"/>
      <c r="AD564" s="4"/>
      <c r="AE564" s="4"/>
      <c r="AF564" s="4"/>
      <c r="AG564" s="4"/>
      <c r="AH564" s="4"/>
      <c r="AI564" s="4"/>
      <c r="AJ564" s="4"/>
      <c r="AK564" s="4"/>
      <c r="AL564" s="4"/>
      <c r="AM564" s="4"/>
      <c r="AN564" s="4"/>
      <c r="AO564" s="4"/>
      <c r="AP564" s="4"/>
      <c r="AQ564" s="4"/>
      <c r="AR564" s="4"/>
      <c r="AS564" s="4"/>
      <c r="AT564" s="4"/>
      <c r="AU564" s="4"/>
      <c r="AV564" s="4"/>
      <c r="AW564" s="4"/>
      <c r="AX564" s="4"/>
      <c r="AY564" s="4"/>
      <c r="AZ564" s="4"/>
      <c r="BA564" s="4"/>
      <c r="BB564" s="4"/>
      <c r="BC564" s="4"/>
      <c r="BD564" s="4"/>
      <c r="BE564" s="4"/>
      <c r="BF564" s="4"/>
      <c r="BG564" s="4"/>
      <c r="BH564" s="4"/>
      <c r="BI564" s="4"/>
      <c r="BJ564" s="4"/>
      <c r="BK564" s="4"/>
      <c r="BL564" s="4"/>
      <c r="BM564" s="4"/>
      <c r="BN564" s="4"/>
      <c r="BO564" s="4"/>
      <c r="BP564" s="4"/>
      <c r="BQ564" s="4"/>
      <c r="BR564" s="4"/>
      <c r="BS564" s="4"/>
      <c r="BT564" s="4"/>
      <c r="BU564" s="4"/>
      <c r="BV564" s="4"/>
      <c r="BW564" s="4"/>
      <c r="BX564" s="4"/>
      <c r="BY564" s="4"/>
    </row>
    <row r="565" spans="1:77" hidden="1" x14ac:dyDescent="0.25">
      <c r="A565" s="6">
        <v>531</v>
      </c>
      <c r="B565" s="27" t="s">
        <v>312</v>
      </c>
      <c r="C565" s="241">
        <f t="shared" si="178"/>
        <v>0</v>
      </c>
      <c r="D565" s="239">
        <v>0</v>
      </c>
      <c r="E565" s="239">
        <v>0</v>
      </c>
      <c r="F565" s="239">
        <v>0</v>
      </c>
      <c r="G565" s="239">
        <v>0</v>
      </c>
      <c r="H565" s="239">
        <v>0</v>
      </c>
      <c r="I565" s="239">
        <v>0</v>
      </c>
      <c r="J565" s="239">
        <v>0</v>
      </c>
      <c r="K565" s="239">
        <v>0</v>
      </c>
      <c r="L565" s="239">
        <v>0</v>
      </c>
      <c r="M565" s="239">
        <v>0</v>
      </c>
      <c r="N565" s="239">
        <v>0</v>
      </c>
      <c r="O565" s="239">
        <v>0</v>
      </c>
      <c r="V565" s="4"/>
      <c r="W565" s="4"/>
      <c r="X565" s="4"/>
      <c r="Y565" s="4"/>
      <c r="Z565" s="4"/>
      <c r="AA565" s="4"/>
      <c r="AB565" s="4"/>
      <c r="AC565" s="4"/>
      <c r="AD565" s="4"/>
      <c r="AE565" s="4"/>
      <c r="AF565" s="4"/>
      <c r="AG565" s="4"/>
      <c r="AH565" s="4"/>
      <c r="AI565" s="4"/>
      <c r="AJ565" s="4"/>
      <c r="AK565" s="4"/>
      <c r="AL565" s="4"/>
      <c r="AM565" s="4"/>
      <c r="AN565" s="4"/>
      <c r="AO565" s="4"/>
      <c r="AP565" s="4"/>
      <c r="AQ565" s="4"/>
      <c r="AR565" s="4"/>
      <c r="AS565" s="4"/>
      <c r="AT565" s="4"/>
      <c r="AU565" s="4"/>
      <c r="AV565" s="4"/>
      <c r="AW565" s="4"/>
      <c r="AX565" s="4"/>
      <c r="AY565" s="4"/>
      <c r="AZ565" s="4"/>
      <c r="BA565" s="4"/>
      <c r="BB565" s="4"/>
      <c r="BC565" s="4"/>
      <c r="BD565" s="4"/>
      <c r="BE565" s="4"/>
      <c r="BF565" s="4"/>
      <c r="BG565" s="4"/>
      <c r="BH565" s="4"/>
      <c r="BI565" s="4"/>
      <c r="BJ565" s="4"/>
      <c r="BK565" s="4"/>
      <c r="BL565" s="4"/>
      <c r="BM565" s="4"/>
      <c r="BN565" s="4"/>
      <c r="BO565" s="4"/>
      <c r="BP565" s="4"/>
      <c r="BQ565" s="4"/>
      <c r="BR565" s="4"/>
      <c r="BS565" s="4"/>
      <c r="BT565" s="4"/>
      <c r="BU565" s="4"/>
      <c r="BV565" s="4"/>
      <c r="BW565" s="4"/>
      <c r="BX565" s="4"/>
      <c r="BY565" s="4"/>
    </row>
    <row r="566" spans="1:77" hidden="1" x14ac:dyDescent="0.25">
      <c r="A566" s="6">
        <v>547</v>
      </c>
      <c r="B566" s="27" t="s">
        <v>175</v>
      </c>
      <c r="C566" s="241">
        <f t="shared" si="178"/>
        <v>0</v>
      </c>
      <c r="D566" s="239">
        <v>0</v>
      </c>
      <c r="E566" s="239">
        <v>0</v>
      </c>
      <c r="F566" s="239">
        <v>0</v>
      </c>
      <c r="G566" s="239">
        <v>0</v>
      </c>
      <c r="H566" s="239">
        <v>0</v>
      </c>
      <c r="I566" s="239">
        <v>0</v>
      </c>
      <c r="J566" s="239">
        <v>0</v>
      </c>
      <c r="K566" s="239">
        <v>0</v>
      </c>
      <c r="L566" s="239">
        <v>0</v>
      </c>
      <c r="M566" s="239">
        <v>0</v>
      </c>
      <c r="N566" s="239">
        <v>0</v>
      </c>
      <c r="O566" s="239">
        <v>0</v>
      </c>
    </row>
    <row r="567" spans="1:77" hidden="1" x14ac:dyDescent="0.25">
      <c r="A567" s="6">
        <v>561</v>
      </c>
      <c r="B567" s="27" t="s">
        <v>313</v>
      </c>
      <c r="C567" s="241">
        <f t="shared" ref="C567" si="179">SUM(D567:O567)</f>
        <v>0</v>
      </c>
      <c r="D567" s="239">
        <v>0</v>
      </c>
      <c r="E567" s="239">
        <v>0</v>
      </c>
      <c r="F567" s="239">
        <v>0</v>
      </c>
      <c r="G567" s="239">
        <v>0</v>
      </c>
      <c r="H567" s="239">
        <v>0</v>
      </c>
      <c r="I567" s="239">
        <v>0</v>
      </c>
      <c r="J567" s="239">
        <v>0</v>
      </c>
      <c r="K567" s="239">
        <v>0</v>
      </c>
      <c r="L567" s="239">
        <v>0</v>
      </c>
      <c r="M567" s="239">
        <v>0</v>
      </c>
      <c r="N567" s="239">
        <v>0</v>
      </c>
      <c r="O567" s="239">
        <v>0</v>
      </c>
      <c r="V567" s="4"/>
      <c r="W567" s="4"/>
      <c r="X567" s="4"/>
      <c r="Y567" s="4"/>
      <c r="Z567" s="4"/>
      <c r="AA567" s="4"/>
      <c r="AB567" s="4"/>
      <c r="AC567" s="4"/>
      <c r="AD567" s="4"/>
      <c r="AE567" s="4"/>
      <c r="AF567" s="4"/>
      <c r="AG567" s="4"/>
      <c r="AH567" s="4"/>
      <c r="AI567" s="4"/>
      <c r="AJ567" s="4"/>
      <c r="AK567" s="4"/>
      <c r="AL567" s="4"/>
      <c r="AM567" s="4"/>
      <c r="AN567" s="4"/>
      <c r="AO567" s="4"/>
      <c r="AP567" s="4"/>
      <c r="AQ567" s="4"/>
      <c r="AR567" s="4"/>
      <c r="AS567" s="4"/>
      <c r="AT567" s="4"/>
      <c r="AU567" s="4"/>
      <c r="AV567" s="4"/>
      <c r="AW567" s="4"/>
      <c r="AX567" s="4"/>
      <c r="AY567" s="4"/>
      <c r="AZ567" s="4"/>
      <c r="BA567" s="4"/>
      <c r="BB567" s="4"/>
      <c r="BC567" s="4"/>
      <c r="BD567" s="4"/>
      <c r="BE567" s="4"/>
      <c r="BF567" s="4"/>
      <c r="BG567" s="4"/>
      <c r="BH567" s="4"/>
      <c r="BI567" s="4"/>
      <c r="BJ567" s="4"/>
      <c r="BK567" s="4"/>
      <c r="BL567" s="4"/>
      <c r="BM567" s="4"/>
      <c r="BN567" s="4"/>
      <c r="BO567" s="4"/>
      <c r="BP567" s="4"/>
      <c r="BQ567" s="4"/>
      <c r="BR567" s="4"/>
      <c r="BS567" s="4"/>
      <c r="BT567" s="4"/>
      <c r="BU567" s="4"/>
      <c r="BV567" s="4"/>
      <c r="BW567" s="4"/>
      <c r="BX567" s="4"/>
      <c r="BY567" s="4"/>
    </row>
    <row r="568" spans="1:77" hidden="1" x14ac:dyDescent="0.25">
      <c r="A568" s="6">
        <v>621</v>
      </c>
      <c r="B568" s="27" t="s">
        <v>314</v>
      </c>
      <c r="C568" s="241">
        <f t="shared" si="178"/>
        <v>0</v>
      </c>
      <c r="D568" s="239">
        <v>0</v>
      </c>
      <c r="E568" s="239">
        <v>0</v>
      </c>
      <c r="F568" s="239">
        <v>0</v>
      </c>
      <c r="G568" s="239">
        <v>0</v>
      </c>
      <c r="H568" s="239">
        <v>0</v>
      </c>
      <c r="I568" s="239">
        <v>0</v>
      </c>
      <c r="J568" s="239">
        <v>0</v>
      </c>
      <c r="K568" s="239">
        <v>0</v>
      </c>
      <c r="L568" s="239">
        <v>0</v>
      </c>
      <c r="M568" s="239">
        <v>0</v>
      </c>
      <c r="N568" s="239">
        <v>0</v>
      </c>
      <c r="O568" s="239">
        <v>0</v>
      </c>
      <c r="V568" s="4"/>
      <c r="W568" s="4"/>
      <c r="X568" s="4"/>
      <c r="Y568" s="4"/>
      <c r="Z568" s="4"/>
      <c r="AA568" s="4"/>
      <c r="AB568" s="4"/>
      <c r="AC568" s="4"/>
      <c r="AD568" s="4"/>
      <c r="AE568" s="4"/>
      <c r="AF568" s="4"/>
      <c r="AG568" s="4"/>
      <c r="AH568" s="4"/>
      <c r="AI568" s="4"/>
      <c r="AJ568" s="4"/>
      <c r="AK568" s="4"/>
      <c r="AL568" s="4"/>
      <c r="AM568" s="4"/>
      <c r="AN568" s="4"/>
      <c r="AO568" s="4"/>
      <c r="AP568" s="4"/>
      <c r="AQ568" s="4"/>
      <c r="AR568" s="4"/>
      <c r="AS568" s="4"/>
      <c r="AT568" s="4"/>
      <c r="AU568" s="4"/>
      <c r="AV568" s="4"/>
      <c r="AW568" s="4"/>
      <c r="AX568" s="4"/>
      <c r="AY568" s="4"/>
      <c r="AZ568" s="4"/>
      <c r="BA568" s="4"/>
      <c r="BB568" s="4"/>
      <c r="BC568" s="4"/>
      <c r="BD568" s="4"/>
      <c r="BE568" s="4"/>
      <c r="BF568" s="4"/>
      <c r="BG568" s="4"/>
      <c r="BH568" s="4"/>
      <c r="BI568" s="4"/>
      <c r="BJ568" s="4"/>
      <c r="BK568" s="4"/>
      <c r="BL568" s="4"/>
      <c r="BM568" s="4"/>
      <c r="BN568" s="4"/>
      <c r="BO568" s="4"/>
      <c r="BP568" s="4"/>
      <c r="BQ568" s="4"/>
      <c r="BR568" s="4"/>
      <c r="BS568" s="4"/>
      <c r="BT568" s="4"/>
      <c r="BU568" s="4"/>
      <c r="BV568" s="4"/>
      <c r="BW568" s="4"/>
      <c r="BX568" s="4"/>
      <c r="BY568" s="4"/>
    </row>
    <row r="569" spans="1:77" hidden="1" x14ac:dyDescent="0.25">
      <c r="A569" s="6">
        <v>679</v>
      </c>
      <c r="B569" s="27" t="s">
        <v>435</v>
      </c>
      <c r="C569" s="241">
        <f t="shared" si="178"/>
        <v>0</v>
      </c>
      <c r="D569" s="239">
        <v>0</v>
      </c>
      <c r="E569" s="239">
        <v>0</v>
      </c>
      <c r="F569" s="239">
        <v>0</v>
      </c>
      <c r="G569" s="239">
        <v>0</v>
      </c>
      <c r="H569" s="239">
        <v>0</v>
      </c>
      <c r="I569" s="239">
        <v>0</v>
      </c>
      <c r="J569" s="239">
        <v>0</v>
      </c>
      <c r="K569" s="239">
        <v>0</v>
      </c>
      <c r="L569" s="239">
        <v>0</v>
      </c>
      <c r="M569" s="239">
        <v>0</v>
      </c>
      <c r="N569" s="239">
        <v>0</v>
      </c>
      <c r="O569" s="239">
        <v>0</v>
      </c>
      <c r="V569" s="4"/>
      <c r="W569" s="4"/>
      <c r="X569" s="4"/>
      <c r="Y569" s="4"/>
      <c r="Z569" s="4"/>
      <c r="AA569" s="4"/>
      <c r="AB569" s="4"/>
      <c r="AC569" s="4"/>
      <c r="AD569" s="4"/>
      <c r="AE569" s="4"/>
      <c r="AF569" s="4"/>
      <c r="AG569" s="4"/>
      <c r="AH569" s="4"/>
      <c r="AI569" s="4"/>
      <c r="AJ569" s="4"/>
      <c r="AK569" s="4"/>
      <c r="AL569" s="4"/>
      <c r="AM569" s="4"/>
      <c r="AN569" s="4"/>
      <c r="AO569" s="4"/>
      <c r="AP569" s="4"/>
      <c r="AQ569" s="4"/>
      <c r="AR569" s="4"/>
      <c r="AS569" s="4"/>
      <c r="AT569" s="4"/>
      <c r="AU569" s="4"/>
      <c r="AV569" s="4"/>
      <c r="AW569" s="4"/>
      <c r="AX569" s="4"/>
      <c r="AY569" s="4"/>
      <c r="AZ569" s="4"/>
      <c r="BA569" s="4"/>
      <c r="BB569" s="4"/>
      <c r="BC569" s="4"/>
      <c r="BD569" s="4"/>
      <c r="BE569" s="4"/>
      <c r="BF569" s="4"/>
      <c r="BG569" s="4"/>
      <c r="BH569" s="4"/>
      <c r="BI569" s="4"/>
      <c r="BJ569" s="4"/>
      <c r="BK569" s="4"/>
      <c r="BL569" s="4"/>
      <c r="BM569" s="4"/>
      <c r="BN569" s="4"/>
      <c r="BO569" s="4"/>
      <c r="BP569" s="4"/>
      <c r="BQ569" s="4"/>
      <c r="BR569" s="4"/>
      <c r="BS569" s="4"/>
      <c r="BT569" s="4"/>
      <c r="BU569" s="4"/>
      <c r="BV569" s="4"/>
      <c r="BW569" s="4"/>
      <c r="BX569" s="4"/>
      <c r="BY569" s="4"/>
    </row>
    <row r="570" spans="1:77" hidden="1" x14ac:dyDescent="0.25">
      <c r="A570" s="6">
        <v>683</v>
      </c>
      <c r="B570" s="27" t="s">
        <v>439</v>
      </c>
      <c r="C570" s="241">
        <f>SUM(D570:O570)</f>
        <v>0</v>
      </c>
      <c r="D570" s="239">
        <v>0</v>
      </c>
      <c r="E570" s="239">
        <v>0</v>
      </c>
      <c r="F570" s="239">
        <v>0</v>
      </c>
      <c r="G570" s="239">
        <v>0</v>
      </c>
      <c r="H570" s="239">
        <v>0</v>
      </c>
      <c r="I570" s="239">
        <v>0</v>
      </c>
      <c r="J570" s="239">
        <v>0</v>
      </c>
      <c r="K570" s="239">
        <v>0</v>
      </c>
      <c r="L570" s="239">
        <v>0</v>
      </c>
      <c r="M570" s="239">
        <v>0</v>
      </c>
      <c r="N570" s="239">
        <v>0</v>
      </c>
      <c r="O570" s="239">
        <v>0</v>
      </c>
      <c r="V570" s="4"/>
      <c r="W570" s="4"/>
      <c r="X570" s="4"/>
      <c r="Y570" s="4"/>
      <c r="Z570" s="4"/>
      <c r="AA570" s="4"/>
      <c r="AB570" s="4"/>
      <c r="AC570" s="4"/>
      <c r="AD570" s="4"/>
      <c r="AE570" s="4"/>
      <c r="AF570" s="4"/>
      <c r="AG570" s="4"/>
      <c r="AH570" s="4"/>
      <c r="AI570" s="4"/>
      <c r="AJ570" s="4"/>
      <c r="AK570" s="4"/>
      <c r="AL570" s="4"/>
      <c r="AM570" s="4"/>
      <c r="AN570" s="4"/>
      <c r="AO570" s="4"/>
      <c r="AP570" s="4"/>
      <c r="AQ570" s="4"/>
      <c r="AR570" s="4"/>
      <c r="AS570" s="4"/>
      <c r="AT570" s="4"/>
      <c r="AU570" s="4"/>
      <c r="AV570" s="4"/>
      <c r="AW570" s="4"/>
      <c r="AX570" s="4"/>
      <c r="AY570" s="4"/>
      <c r="AZ570" s="4"/>
      <c r="BA570" s="4"/>
      <c r="BB570" s="4"/>
      <c r="BC570" s="4"/>
      <c r="BD570" s="4"/>
      <c r="BE570" s="4"/>
      <c r="BF570" s="4"/>
      <c r="BG570" s="4"/>
      <c r="BH570" s="4"/>
      <c r="BI570" s="4"/>
      <c r="BJ570" s="4"/>
      <c r="BK570" s="4"/>
      <c r="BL570" s="4"/>
      <c r="BM570" s="4"/>
      <c r="BN570" s="4"/>
      <c r="BO570" s="4"/>
      <c r="BP570" s="4"/>
      <c r="BQ570" s="4"/>
      <c r="BR570" s="4"/>
      <c r="BS570" s="4"/>
      <c r="BT570" s="4"/>
      <c r="BU570" s="4"/>
      <c r="BV570" s="4"/>
      <c r="BW570" s="4"/>
      <c r="BX570" s="4"/>
      <c r="BY570" s="4"/>
    </row>
    <row r="571" spans="1:77" x14ac:dyDescent="0.25">
      <c r="A571" s="6">
        <v>766</v>
      </c>
      <c r="B571" s="5" t="s">
        <v>507</v>
      </c>
      <c r="C571" s="326">
        <f t="shared" si="178"/>
        <v>0</v>
      </c>
      <c r="D571" s="239">
        <v>0</v>
      </c>
      <c r="E571" s="239">
        <v>0</v>
      </c>
      <c r="F571" s="239">
        <v>0</v>
      </c>
      <c r="G571" s="239">
        <v>0</v>
      </c>
      <c r="H571" s="239">
        <v>0</v>
      </c>
      <c r="I571" s="239">
        <v>0</v>
      </c>
      <c r="J571" s="239">
        <v>0</v>
      </c>
      <c r="K571" s="239">
        <v>0</v>
      </c>
      <c r="L571" s="239">
        <v>0</v>
      </c>
      <c r="M571" s="239">
        <v>0</v>
      </c>
      <c r="N571" s="239">
        <v>0</v>
      </c>
      <c r="O571" s="239">
        <v>0</v>
      </c>
      <c r="V571" s="4"/>
      <c r="W571" s="4"/>
      <c r="X571" s="4"/>
      <c r="Y571" s="4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/>
      <c r="AX571" s="4"/>
      <c r="AY571" s="4"/>
      <c r="AZ571" s="4"/>
      <c r="BA571" s="4"/>
      <c r="BB571" s="4"/>
      <c r="BC571" s="4"/>
      <c r="BD571" s="4"/>
      <c r="BE571" s="4"/>
      <c r="BF571" s="4"/>
      <c r="BG571" s="4"/>
      <c r="BH571" s="4"/>
      <c r="BI571" s="4"/>
      <c r="BJ571" s="4"/>
      <c r="BK571" s="4"/>
      <c r="BL571" s="4"/>
      <c r="BM571" s="4"/>
      <c r="BN571" s="4"/>
      <c r="BO571" s="4"/>
      <c r="BP571" s="4"/>
      <c r="BQ571" s="4"/>
      <c r="BR571" s="4"/>
      <c r="BS571" s="4"/>
      <c r="BT571" s="4"/>
      <c r="BU571" s="4"/>
      <c r="BV571" s="4"/>
      <c r="BW571" s="4"/>
      <c r="BX571" s="4"/>
      <c r="BY571" s="4"/>
    </row>
    <row r="572" spans="1:77" x14ac:dyDescent="0.25">
      <c r="A572" s="6">
        <v>768</v>
      </c>
      <c r="B572" s="5" t="s">
        <v>625</v>
      </c>
      <c r="C572" s="326">
        <f t="shared" si="178"/>
        <v>397.72</v>
      </c>
      <c r="D572" s="239">
        <v>0</v>
      </c>
      <c r="E572" s="239">
        <v>0</v>
      </c>
      <c r="F572" s="239">
        <v>0</v>
      </c>
      <c r="G572" s="239">
        <v>0</v>
      </c>
      <c r="H572" s="239">
        <v>0</v>
      </c>
      <c r="I572" s="239">
        <v>0</v>
      </c>
      <c r="J572" s="239">
        <v>0</v>
      </c>
      <c r="K572" s="239">
        <v>0</v>
      </c>
      <c r="L572" s="239">
        <v>0</v>
      </c>
      <c r="M572" s="239">
        <v>0</v>
      </c>
      <c r="N572" s="239">
        <v>0</v>
      </c>
      <c r="O572" s="239">
        <v>397.72</v>
      </c>
      <c r="V572" s="4"/>
      <c r="W572" s="4"/>
      <c r="X572" s="4"/>
      <c r="Y572" s="4"/>
      <c r="Z572" s="4"/>
      <c r="AA572" s="4"/>
      <c r="AB572" s="4"/>
      <c r="AC572" s="4"/>
      <c r="AD572" s="4"/>
      <c r="AE572" s="4"/>
      <c r="AF572" s="4"/>
      <c r="AG572" s="4"/>
      <c r="AH572" s="4"/>
      <c r="AI572" s="4"/>
      <c r="AJ572" s="4"/>
      <c r="AK572" s="4"/>
      <c r="AL572" s="4"/>
      <c r="AM572" s="4"/>
      <c r="AN572" s="4"/>
      <c r="AO572" s="4"/>
      <c r="AP572" s="4"/>
      <c r="AQ572" s="4"/>
      <c r="AR572" s="4"/>
      <c r="AS572" s="4"/>
      <c r="AT572" s="4"/>
      <c r="AU572" s="4"/>
      <c r="AV572" s="4"/>
      <c r="AW572" s="4"/>
      <c r="AX572" s="4"/>
      <c r="AY572" s="4"/>
      <c r="AZ572" s="4"/>
      <c r="BA572" s="4"/>
      <c r="BB572" s="4"/>
      <c r="BC572" s="4"/>
      <c r="BD572" s="4"/>
      <c r="BE572" s="4"/>
      <c r="BF572" s="4"/>
      <c r="BG572" s="4"/>
      <c r="BH572" s="4"/>
      <c r="BI572" s="4"/>
      <c r="BJ572" s="4"/>
      <c r="BK572" s="4"/>
      <c r="BL572" s="4"/>
      <c r="BM572" s="4"/>
      <c r="BN572" s="4"/>
      <c r="BO572" s="4"/>
      <c r="BP572" s="4"/>
      <c r="BQ572" s="4"/>
      <c r="BR572" s="4"/>
      <c r="BS572" s="4"/>
      <c r="BT572" s="4"/>
      <c r="BU572" s="4"/>
      <c r="BV572" s="4"/>
      <c r="BW572" s="4"/>
      <c r="BX572" s="4"/>
      <c r="BY572" s="4"/>
    </row>
    <row r="573" spans="1:77" x14ac:dyDescent="0.25">
      <c r="A573" s="6">
        <v>770</v>
      </c>
      <c r="B573" s="5" t="s">
        <v>626</v>
      </c>
      <c r="C573" s="326">
        <f t="shared" si="178"/>
        <v>0</v>
      </c>
      <c r="D573" s="239">
        <v>0</v>
      </c>
      <c r="E573" s="239">
        <v>0</v>
      </c>
      <c r="F573" s="239">
        <v>0</v>
      </c>
      <c r="G573" s="239">
        <v>0</v>
      </c>
      <c r="H573" s="239">
        <v>0</v>
      </c>
      <c r="I573" s="239">
        <v>0</v>
      </c>
      <c r="J573" s="239">
        <v>0</v>
      </c>
      <c r="K573" s="239">
        <v>0</v>
      </c>
      <c r="L573" s="239">
        <v>0</v>
      </c>
      <c r="M573" s="239">
        <v>0</v>
      </c>
      <c r="N573" s="239">
        <v>0</v>
      </c>
      <c r="O573" s="239">
        <v>0</v>
      </c>
      <c r="V573" s="4"/>
      <c r="W573" s="4"/>
      <c r="X573" s="4"/>
      <c r="Y573" s="4"/>
      <c r="Z573" s="4"/>
      <c r="AA573" s="4"/>
      <c r="AB573" s="4"/>
      <c r="AC573" s="4"/>
      <c r="AD573" s="4"/>
      <c r="AE573" s="4"/>
      <c r="AF573" s="4"/>
      <c r="AG573" s="4"/>
      <c r="AH573" s="4"/>
      <c r="AI573" s="4"/>
      <c r="AJ573" s="4"/>
      <c r="AK573" s="4"/>
      <c r="AL573" s="4"/>
      <c r="AM573" s="4"/>
      <c r="AN573" s="4"/>
      <c r="AO573" s="4"/>
      <c r="AP573" s="4"/>
      <c r="AQ573" s="4"/>
      <c r="AR573" s="4"/>
      <c r="AS573" s="4"/>
      <c r="AT573" s="4"/>
      <c r="AU573" s="4"/>
      <c r="AV573" s="4"/>
      <c r="AW573" s="4"/>
      <c r="AX573" s="4"/>
      <c r="AY573" s="4"/>
      <c r="AZ573" s="4"/>
      <c r="BA573" s="4"/>
      <c r="BB573" s="4"/>
      <c r="BC573" s="4"/>
      <c r="BD573" s="4"/>
      <c r="BE573" s="4"/>
      <c r="BF573" s="4"/>
      <c r="BG573" s="4"/>
      <c r="BH573" s="4"/>
      <c r="BI573" s="4"/>
      <c r="BJ573" s="4"/>
      <c r="BK573" s="4"/>
      <c r="BL573" s="4"/>
      <c r="BM573" s="4"/>
      <c r="BN573" s="4"/>
      <c r="BO573" s="4"/>
      <c r="BP573" s="4"/>
      <c r="BQ573" s="4"/>
      <c r="BR573" s="4"/>
      <c r="BS573" s="4"/>
      <c r="BT573" s="4"/>
      <c r="BU573" s="4"/>
      <c r="BV573" s="4"/>
      <c r="BW573" s="4"/>
      <c r="BX573" s="4"/>
      <c r="BY573" s="4"/>
    </row>
    <row r="574" spans="1:77" ht="7.95" customHeight="1" thickBot="1" x14ac:dyDescent="0.3">
      <c r="A574" s="6"/>
      <c r="B574" s="27"/>
      <c r="C574" s="241"/>
      <c r="D574" s="223"/>
      <c r="E574" s="223"/>
      <c r="F574" s="223"/>
      <c r="G574" s="223"/>
      <c r="H574" s="223"/>
      <c r="I574" s="223"/>
      <c r="J574" s="223"/>
      <c r="K574" s="223"/>
      <c r="L574" s="223"/>
      <c r="M574" s="223"/>
      <c r="N574" s="223"/>
      <c r="O574" s="223"/>
      <c r="V574" s="4"/>
      <c r="W574" s="4"/>
      <c r="X574" s="4"/>
      <c r="Y574" s="4"/>
      <c r="Z574" s="4"/>
      <c r="AA574" s="4"/>
      <c r="AB574" s="4"/>
      <c r="AC574" s="4"/>
      <c r="AD574" s="4"/>
      <c r="AE574" s="4"/>
      <c r="AF574" s="4"/>
      <c r="AG574" s="4"/>
      <c r="AH574" s="4"/>
      <c r="AI574" s="4"/>
      <c r="AJ574" s="4"/>
      <c r="AK574" s="4"/>
      <c r="AL574" s="4"/>
      <c r="AM574" s="4"/>
      <c r="AN574" s="4"/>
      <c r="AO574" s="4"/>
      <c r="AP574" s="4"/>
      <c r="AQ574" s="4"/>
      <c r="AR574" s="4"/>
      <c r="AS574" s="4"/>
      <c r="AT574" s="4"/>
      <c r="AU574" s="4"/>
      <c r="AV574" s="4"/>
      <c r="AW574" s="4"/>
      <c r="AX574" s="4"/>
      <c r="AY574" s="4"/>
      <c r="AZ574" s="4"/>
      <c r="BA574" s="4"/>
      <c r="BB574" s="4"/>
      <c r="BC574" s="4"/>
      <c r="BD574" s="4"/>
      <c r="BE574" s="4"/>
      <c r="BF574" s="4"/>
      <c r="BG574" s="4"/>
      <c r="BH574" s="4"/>
      <c r="BI574" s="4"/>
      <c r="BJ574" s="4"/>
      <c r="BK574" s="4"/>
      <c r="BL574" s="4"/>
      <c r="BM574" s="4"/>
      <c r="BN574" s="4"/>
      <c r="BO574" s="4"/>
      <c r="BP574" s="4"/>
      <c r="BQ574" s="4"/>
      <c r="BR574" s="4"/>
      <c r="BS574" s="4"/>
      <c r="BT574" s="4"/>
      <c r="BU574" s="4"/>
      <c r="BV574" s="4"/>
      <c r="BW574" s="4"/>
      <c r="BX574" s="4"/>
      <c r="BY574" s="4"/>
    </row>
    <row r="575" spans="1:77" ht="13.8" thickBot="1" x14ac:dyDescent="0.3">
      <c r="A575" s="2"/>
      <c r="B575" s="249" t="s">
        <v>315</v>
      </c>
      <c r="C575" s="35">
        <f>SUM(D575:O575)</f>
        <v>15000</v>
      </c>
      <c r="D575" s="169">
        <f>SUM(D576:D583)</f>
        <v>0</v>
      </c>
      <c r="E575" s="201">
        <f>SUM(E576:E583)</f>
        <v>0</v>
      </c>
      <c r="F575" s="201">
        <f>SUM(F576:F583)</f>
        <v>0</v>
      </c>
      <c r="G575" s="293">
        <f>SUM(G576:G583)</f>
        <v>0</v>
      </c>
      <c r="H575" s="35">
        <f>SUM(H576:H583)</f>
        <v>0</v>
      </c>
      <c r="I575" s="3">
        <f t="shared" ref="I575:L575" si="180">SUM(I576:I583)</f>
        <v>0</v>
      </c>
      <c r="J575" s="35">
        <f t="shared" si="180"/>
        <v>0</v>
      </c>
      <c r="K575" s="35">
        <f t="shared" si="180"/>
        <v>0</v>
      </c>
      <c r="L575" s="35">
        <f t="shared" si="180"/>
        <v>0</v>
      </c>
      <c r="M575" s="35">
        <f>SUM(M576:M583)</f>
        <v>0</v>
      </c>
      <c r="N575" s="35">
        <f>SUM(N576:N583)</f>
        <v>5000</v>
      </c>
      <c r="O575" s="35">
        <f t="shared" ref="O575" si="181">SUM(O576:O583)</f>
        <v>10000</v>
      </c>
    </row>
    <row r="576" spans="1:77" hidden="1" x14ac:dyDescent="0.25">
      <c r="A576" s="53">
        <v>106</v>
      </c>
      <c r="B576" s="251" t="s">
        <v>311</v>
      </c>
      <c r="C576" s="239">
        <f t="shared" si="178"/>
        <v>0</v>
      </c>
      <c r="D576" s="218">
        <v>0</v>
      </c>
      <c r="E576" s="222">
        <v>0</v>
      </c>
      <c r="F576" s="220">
        <v>0</v>
      </c>
      <c r="G576" s="220">
        <v>0</v>
      </c>
      <c r="H576" s="220">
        <v>0</v>
      </c>
      <c r="I576" s="220">
        <v>0</v>
      </c>
      <c r="J576" s="220">
        <v>0</v>
      </c>
      <c r="K576" s="220">
        <v>0</v>
      </c>
      <c r="L576" s="220">
        <v>0</v>
      </c>
      <c r="M576" s="220">
        <v>0</v>
      </c>
      <c r="N576" s="220">
        <v>0</v>
      </c>
      <c r="O576" s="222">
        <v>0</v>
      </c>
      <c r="V576" s="4"/>
      <c r="W576" s="4"/>
      <c r="X576" s="4"/>
      <c r="Y576" s="4"/>
      <c r="Z576" s="4"/>
      <c r="AA576" s="4"/>
      <c r="AB576" s="4"/>
      <c r="AC576" s="4"/>
      <c r="AD576" s="4"/>
      <c r="AE576" s="4"/>
      <c r="AF576" s="4"/>
      <c r="AG576" s="4"/>
      <c r="AH576" s="4"/>
      <c r="AI576" s="4"/>
      <c r="AJ576" s="4"/>
      <c r="AK576" s="4"/>
      <c r="AL576" s="4"/>
      <c r="AM576" s="4"/>
      <c r="AN576" s="4"/>
      <c r="AO576" s="4"/>
      <c r="AP576" s="4"/>
      <c r="AQ576" s="4"/>
      <c r="AR576" s="4"/>
      <c r="AS576" s="4"/>
      <c r="AT576" s="4"/>
      <c r="AU576" s="4"/>
      <c r="AV576" s="4"/>
      <c r="AW576" s="4"/>
      <c r="AX576" s="4"/>
      <c r="AY576" s="4"/>
      <c r="AZ576" s="4"/>
      <c r="BA576" s="4"/>
      <c r="BB576" s="4"/>
      <c r="BC576" s="4"/>
      <c r="BD576" s="4"/>
      <c r="BE576" s="4"/>
      <c r="BF576" s="4"/>
      <c r="BG576" s="4"/>
      <c r="BH576" s="4"/>
      <c r="BI576" s="4"/>
      <c r="BJ576" s="4"/>
      <c r="BK576" s="4"/>
      <c r="BL576" s="4"/>
      <c r="BM576" s="4"/>
      <c r="BN576" s="4"/>
      <c r="BO576" s="4"/>
      <c r="BP576" s="4"/>
      <c r="BQ576" s="4"/>
      <c r="BR576" s="4"/>
      <c r="BS576" s="4"/>
      <c r="BT576" s="4"/>
      <c r="BU576" s="4"/>
      <c r="BV576" s="4"/>
      <c r="BW576" s="4"/>
      <c r="BX576" s="4"/>
      <c r="BY576" s="4"/>
    </row>
    <row r="577" spans="1:77" hidden="1" x14ac:dyDescent="0.25">
      <c r="A577" s="6">
        <v>154</v>
      </c>
      <c r="B577" s="27" t="s">
        <v>316</v>
      </c>
      <c r="C577" s="239">
        <f t="shared" ref="C577:C579" si="182">SUM(D577:O577)</f>
        <v>0</v>
      </c>
      <c r="D577" s="24">
        <v>0</v>
      </c>
      <c r="E577" s="239">
        <v>0</v>
      </c>
      <c r="F577" s="241">
        <v>0</v>
      </c>
      <c r="G577" s="241">
        <v>0</v>
      </c>
      <c r="H577" s="241">
        <v>0</v>
      </c>
      <c r="I577" s="241">
        <v>0</v>
      </c>
      <c r="J577" s="241">
        <v>0</v>
      </c>
      <c r="K577" s="241">
        <v>0</v>
      </c>
      <c r="L577" s="241">
        <v>0</v>
      </c>
      <c r="M577" s="241">
        <v>0</v>
      </c>
      <c r="N577" s="241">
        <v>0</v>
      </c>
      <c r="O577" s="239">
        <v>0</v>
      </c>
      <c r="V577" s="4"/>
      <c r="W577" s="4"/>
      <c r="X577" s="4"/>
      <c r="Y577" s="4"/>
      <c r="Z577" s="4"/>
      <c r="AA577" s="4"/>
      <c r="AB577" s="4"/>
      <c r="AC577" s="4"/>
      <c r="AD577" s="4"/>
      <c r="AE577" s="4"/>
      <c r="AF577" s="4"/>
      <c r="AG577" s="4"/>
      <c r="AH577" s="4"/>
      <c r="AI577" s="4"/>
      <c r="AJ577" s="4"/>
      <c r="AK577" s="4"/>
      <c r="AL577" s="4"/>
      <c r="AM577" s="4"/>
      <c r="AN577" s="4"/>
      <c r="AO577" s="4"/>
      <c r="AP577" s="4"/>
      <c r="AQ577" s="4"/>
      <c r="AR577" s="4"/>
      <c r="AS577" s="4"/>
      <c r="AT577" s="4"/>
      <c r="AU577" s="4"/>
      <c r="AV577" s="4"/>
      <c r="AW577" s="4"/>
      <c r="AX577" s="4"/>
      <c r="AY577" s="4"/>
      <c r="AZ577" s="4"/>
      <c r="BA577" s="4"/>
      <c r="BB577" s="4"/>
      <c r="BC577" s="4"/>
      <c r="BD577" s="4"/>
      <c r="BE577" s="4"/>
      <c r="BF577" s="4"/>
      <c r="BG577" s="4"/>
      <c r="BH577" s="4"/>
      <c r="BI577" s="4"/>
      <c r="BJ577" s="4"/>
      <c r="BK577" s="4"/>
      <c r="BL577" s="4"/>
      <c r="BM577" s="4"/>
      <c r="BN577" s="4"/>
      <c r="BO577" s="4"/>
      <c r="BP577" s="4"/>
      <c r="BQ577" s="4"/>
      <c r="BR577" s="4"/>
      <c r="BS577" s="4"/>
      <c r="BT577" s="4"/>
      <c r="BU577" s="4"/>
      <c r="BV577" s="4"/>
      <c r="BW577" s="4"/>
      <c r="BX577" s="4"/>
      <c r="BY577" s="4"/>
    </row>
    <row r="578" spans="1:77" x14ac:dyDescent="0.25">
      <c r="A578" s="6">
        <v>155</v>
      </c>
      <c r="B578" s="27" t="s">
        <v>273</v>
      </c>
      <c r="C578" s="312">
        <f t="shared" si="182"/>
        <v>0</v>
      </c>
      <c r="D578" s="222">
        <v>0</v>
      </c>
      <c r="E578" s="222">
        <v>0</v>
      </c>
      <c r="F578" s="222">
        <v>0</v>
      </c>
      <c r="G578" s="222">
        <v>0</v>
      </c>
      <c r="H578" s="222">
        <v>0</v>
      </c>
      <c r="I578" s="222">
        <v>0</v>
      </c>
      <c r="J578" s="222">
        <v>0</v>
      </c>
      <c r="K578" s="222">
        <v>0</v>
      </c>
      <c r="L578" s="222">
        <v>0</v>
      </c>
      <c r="M578" s="222">
        <v>0</v>
      </c>
      <c r="N578" s="222">
        <v>0</v>
      </c>
      <c r="O578" s="222">
        <v>0</v>
      </c>
      <c r="V578" s="4"/>
      <c r="W578" s="4"/>
      <c r="X578" s="4"/>
      <c r="Y578" s="4"/>
      <c r="Z578" s="4"/>
      <c r="AA578" s="4"/>
      <c r="AB578" s="4"/>
      <c r="AC578" s="4"/>
      <c r="AD578" s="4"/>
      <c r="AE578" s="4"/>
      <c r="AF578" s="4"/>
      <c r="AG578" s="4"/>
      <c r="AH578" s="4"/>
      <c r="AI578" s="4"/>
      <c r="AJ578" s="4"/>
      <c r="AK578" s="4"/>
      <c r="AL578" s="4"/>
      <c r="AM578" s="4"/>
      <c r="AN578" s="4"/>
      <c r="AO578" s="4"/>
      <c r="AP578" s="4"/>
      <c r="AQ578" s="4"/>
      <c r="AR578" s="4"/>
      <c r="AS578" s="4"/>
      <c r="AT578" s="4"/>
      <c r="AU578" s="4"/>
      <c r="AV578" s="4"/>
      <c r="AW578" s="4"/>
      <c r="AX578" s="4"/>
      <c r="AY578" s="4"/>
      <c r="AZ578" s="4"/>
      <c r="BA578" s="4"/>
      <c r="BB578" s="4"/>
      <c r="BC578" s="4"/>
      <c r="BD578" s="4"/>
      <c r="BE578" s="4"/>
      <c r="BF578" s="4"/>
      <c r="BG578" s="4"/>
      <c r="BH578" s="4"/>
      <c r="BI578" s="4"/>
      <c r="BJ578" s="4"/>
      <c r="BK578" s="4"/>
      <c r="BL578" s="4"/>
      <c r="BM578" s="4"/>
      <c r="BN578" s="4"/>
      <c r="BO578" s="4"/>
      <c r="BP578" s="4"/>
      <c r="BQ578" s="4"/>
      <c r="BR578" s="4"/>
      <c r="BS578" s="4"/>
      <c r="BT578" s="4"/>
      <c r="BU578" s="4"/>
      <c r="BV578" s="4"/>
      <c r="BW578" s="4"/>
      <c r="BX578" s="4"/>
      <c r="BY578" s="4"/>
    </row>
    <row r="579" spans="1:77" x14ac:dyDescent="0.25">
      <c r="A579" s="6">
        <v>156</v>
      </c>
      <c r="B579" s="27" t="s">
        <v>317</v>
      </c>
      <c r="C579" s="312">
        <f t="shared" si="182"/>
        <v>0</v>
      </c>
      <c r="D579" s="239">
        <v>0</v>
      </c>
      <c r="E579" s="239">
        <v>0</v>
      </c>
      <c r="F579" s="239">
        <v>0</v>
      </c>
      <c r="G579" s="239">
        <v>0</v>
      </c>
      <c r="H579" s="239">
        <v>0</v>
      </c>
      <c r="I579" s="239">
        <v>0</v>
      </c>
      <c r="J579" s="239">
        <v>0</v>
      </c>
      <c r="K579" s="239">
        <v>0</v>
      </c>
      <c r="L579" s="239">
        <v>0</v>
      </c>
      <c r="M579" s="239">
        <v>0</v>
      </c>
      <c r="N579" s="239">
        <v>0</v>
      </c>
      <c r="O579" s="239">
        <v>0</v>
      </c>
      <c r="V579" s="4"/>
      <c r="W579" s="4"/>
      <c r="X579" s="4"/>
      <c r="Y579" s="4"/>
      <c r="Z579" s="4"/>
      <c r="AA579" s="4"/>
      <c r="AB579" s="4"/>
      <c r="AC579" s="4"/>
      <c r="AD579" s="4"/>
      <c r="AE579" s="4"/>
      <c r="AF579" s="4"/>
      <c r="AG579" s="4"/>
      <c r="AH579" s="4"/>
      <c r="AI579" s="4"/>
      <c r="AJ579" s="4"/>
      <c r="AK579" s="4"/>
      <c r="AL579" s="4"/>
      <c r="AM579" s="4"/>
      <c r="AN579" s="4"/>
      <c r="AO579" s="4"/>
      <c r="AP579" s="4"/>
      <c r="AQ579" s="4"/>
      <c r="AR579" s="4"/>
      <c r="AS579" s="4"/>
      <c r="AT579" s="4"/>
      <c r="AU579" s="4"/>
      <c r="AV579" s="4"/>
      <c r="AW579" s="4"/>
      <c r="AX579" s="4"/>
      <c r="AY579" s="4"/>
      <c r="AZ579" s="4"/>
      <c r="BA579" s="4"/>
      <c r="BB579" s="4"/>
      <c r="BC579" s="4"/>
      <c r="BD579" s="4"/>
      <c r="BE579" s="4"/>
      <c r="BF579" s="4"/>
      <c r="BG579" s="4"/>
      <c r="BH579" s="4"/>
      <c r="BI579" s="4"/>
      <c r="BJ579" s="4"/>
      <c r="BK579" s="4"/>
      <c r="BL579" s="4"/>
      <c r="BM579" s="4"/>
      <c r="BN579" s="4"/>
      <c r="BO579" s="4"/>
      <c r="BP579" s="4"/>
      <c r="BQ579" s="4"/>
      <c r="BR579" s="4"/>
      <c r="BS579" s="4"/>
      <c r="BT579" s="4"/>
      <c r="BU579" s="4"/>
      <c r="BV579" s="4"/>
      <c r="BW579" s="4"/>
      <c r="BX579" s="4"/>
      <c r="BY579" s="4"/>
    </row>
    <row r="580" spans="1:77" x14ac:dyDescent="0.25">
      <c r="A580" s="6">
        <v>234</v>
      </c>
      <c r="B580" s="27" t="s">
        <v>318</v>
      </c>
      <c r="C580" s="312">
        <f t="shared" si="178"/>
        <v>0</v>
      </c>
      <c r="D580" s="239">
        <v>0</v>
      </c>
      <c r="E580" s="239">
        <v>0</v>
      </c>
      <c r="F580" s="239">
        <v>0</v>
      </c>
      <c r="G580" s="239">
        <v>0</v>
      </c>
      <c r="H580" s="239">
        <v>0</v>
      </c>
      <c r="I580" s="239">
        <v>0</v>
      </c>
      <c r="J580" s="239">
        <v>0</v>
      </c>
      <c r="K580" s="239">
        <v>0</v>
      </c>
      <c r="L580" s="239">
        <v>0</v>
      </c>
      <c r="M580" s="239">
        <v>0</v>
      </c>
      <c r="N580" s="239">
        <v>0</v>
      </c>
      <c r="O580" s="239">
        <v>0</v>
      </c>
      <c r="V580" s="4"/>
      <c r="W580" s="4"/>
      <c r="X580" s="4"/>
      <c r="Y580" s="4"/>
      <c r="Z580" s="4"/>
      <c r="AA580" s="4"/>
      <c r="AB580" s="4"/>
      <c r="AC580" s="4"/>
      <c r="AD580" s="4"/>
      <c r="AE580" s="4"/>
      <c r="AF580" s="4"/>
      <c r="AG580" s="4"/>
      <c r="AH580" s="4"/>
      <c r="AI580" s="4"/>
      <c r="AJ580" s="4"/>
      <c r="AK580" s="4"/>
      <c r="AL580" s="4"/>
      <c r="AM580" s="4"/>
      <c r="AN580" s="4"/>
      <c r="AO580" s="4"/>
      <c r="AP580" s="4"/>
      <c r="AQ580" s="4"/>
      <c r="AR580" s="4"/>
      <c r="AS580" s="4"/>
      <c r="AT580" s="4"/>
      <c r="AU580" s="4"/>
      <c r="AV580" s="4"/>
      <c r="AW580" s="4"/>
      <c r="AX580" s="4"/>
      <c r="AY580" s="4"/>
      <c r="AZ580" s="4"/>
      <c r="BA580" s="4"/>
      <c r="BB580" s="4"/>
      <c r="BC580" s="4"/>
      <c r="BD580" s="4"/>
      <c r="BE580" s="4"/>
      <c r="BF580" s="4"/>
      <c r="BG580" s="4"/>
      <c r="BH580" s="4"/>
      <c r="BI580" s="4"/>
      <c r="BJ580" s="4"/>
      <c r="BK580" s="4"/>
      <c r="BL580" s="4"/>
      <c r="BM580" s="4"/>
      <c r="BN580" s="4"/>
      <c r="BO580" s="4"/>
      <c r="BP580" s="4"/>
      <c r="BQ580" s="4"/>
      <c r="BR580" s="4"/>
      <c r="BS580" s="4"/>
      <c r="BT580" s="4"/>
      <c r="BU580" s="4"/>
      <c r="BV580" s="4"/>
      <c r="BW580" s="4"/>
      <c r="BX580" s="4"/>
      <c r="BY580" s="4"/>
    </row>
    <row r="581" spans="1:77" x14ac:dyDescent="0.25">
      <c r="A581" s="6">
        <v>532</v>
      </c>
      <c r="B581" s="27" t="s">
        <v>319</v>
      </c>
      <c r="C581" s="312">
        <f>SUM(D581:O581)</f>
        <v>0</v>
      </c>
      <c r="D581" s="239">
        <v>0</v>
      </c>
      <c r="E581" s="239">
        <v>0</v>
      </c>
      <c r="F581" s="239">
        <v>0</v>
      </c>
      <c r="G581" s="239">
        <v>0</v>
      </c>
      <c r="H581" s="239">
        <v>0</v>
      </c>
      <c r="I581" s="239">
        <v>0</v>
      </c>
      <c r="J581" s="239">
        <v>0</v>
      </c>
      <c r="K581" s="239">
        <v>0</v>
      </c>
      <c r="L581" s="239">
        <v>0</v>
      </c>
      <c r="M581" s="239">
        <v>0</v>
      </c>
      <c r="N581" s="239">
        <v>0</v>
      </c>
      <c r="O581" s="239">
        <v>0</v>
      </c>
      <c r="V581" s="4"/>
      <c r="W581" s="4"/>
      <c r="X581" s="4"/>
      <c r="Y581" s="4"/>
      <c r="Z581" s="4"/>
      <c r="AA581" s="4"/>
      <c r="AB581" s="4"/>
      <c r="AC581" s="4"/>
      <c r="AD581" s="4"/>
      <c r="AE581" s="4"/>
      <c r="AF581" s="4"/>
      <c r="AG581" s="4"/>
      <c r="AH581" s="4"/>
      <c r="AI581" s="4"/>
      <c r="AJ581" s="4"/>
      <c r="AK581" s="4"/>
      <c r="AL581" s="4"/>
      <c r="AM581" s="4"/>
      <c r="AN581" s="4"/>
      <c r="AO581" s="4"/>
      <c r="AP581" s="4"/>
      <c r="AQ581" s="4"/>
      <c r="AR581" s="4"/>
      <c r="AS581" s="4"/>
      <c r="AT581" s="4"/>
      <c r="AU581" s="4"/>
      <c r="AV581" s="4"/>
      <c r="AW581" s="4"/>
      <c r="AX581" s="4"/>
      <c r="AY581" s="4"/>
      <c r="AZ581" s="4"/>
      <c r="BA581" s="4"/>
      <c r="BB581" s="4"/>
      <c r="BC581" s="4"/>
      <c r="BD581" s="4"/>
      <c r="BE581" s="4"/>
      <c r="BF581" s="4"/>
      <c r="BG581" s="4"/>
      <c r="BH581" s="4"/>
      <c r="BI581" s="4"/>
      <c r="BJ581" s="4"/>
      <c r="BK581" s="4"/>
      <c r="BL581" s="4"/>
      <c r="BM581" s="4"/>
      <c r="BN581" s="4"/>
      <c r="BO581" s="4"/>
      <c r="BP581" s="4"/>
      <c r="BQ581" s="4"/>
      <c r="BR581" s="4"/>
      <c r="BS581" s="4"/>
      <c r="BT581" s="4"/>
      <c r="BU581" s="4"/>
      <c r="BV581" s="4"/>
      <c r="BW581" s="4"/>
      <c r="BX581" s="4"/>
      <c r="BY581" s="4"/>
    </row>
    <row r="582" spans="1:77" x14ac:dyDescent="0.25">
      <c r="A582" s="6">
        <v>736</v>
      </c>
      <c r="B582" s="27" t="s">
        <v>557</v>
      </c>
      <c r="C582" s="330">
        <f>SUM(D582:O582)</f>
        <v>15000</v>
      </c>
      <c r="D582" s="239">
        <v>0</v>
      </c>
      <c r="E582" s="239">
        <v>0</v>
      </c>
      <c r="F582" s="239">
        <v>0</v>
      </c>
      <c r="G582" s="239">
        <v>0</v>
      </c>
      <c r="H582" s="239">
        <v>0</v>
      </c>
      <c r="I582" s="239">
        <v>0</v>
      </c>
      <c r="J582" s="239">
        <v>0</v>
      </c>
      <c r="K582" s="239">
        <v>0</v>
      </c>
      <c r="L582" s="239">
        <v>0</v>
      </c>
      <c r="M582" s="239">
        <v>0</v>
      </c>
      <c r="N582" s="239">
        <v>5000</v>
      </c>
      <c r="O582" s="239">
        <v>10000</v>
      </c>
      <c r="V582" s="4"/>
      <c r="W582" s="4"/>
      <c r="X582" s="4"/>
      <c r="Y582" s="4"/>
      <c r="Z582" s="4"/>
      <c r="AA582" s="4"/>
      <c r="AB582" s="4"/>
      <c r="AC582" s="4"/>
      <c r="AD582" s="4"/>
      <c r="AE582" s="4"/>
      <c r="AF582" s="4"/>
      <c r="AG582" s="4"/>
      <c r="AH582" s="4"/>
      <c r="AI582" s="4"/>
      <c r="AJ582" s="4"/>
      <c r="AK582" s="4"/>
      <c r="AL582" s="4"/>
      <c r="AM582" s="4"/>
      <c r="AN582" s="4"/>
      <c r="AO582" s="4"/>
      <c r="AP582" s="4"/>
      <c r="AQ582" s="4"/>
      <c r="AR582" s="4"/>
      <c r="AS582" s="4"/>
      <c r="AT582" s="4"/>
      <c r="AU582" s="4"/>
      <c r="AV582" s="4"/>
      <c r="AW582" s="4"/>
      <c r="AX582" s="4"/>
      <c r="AY582" s="4"/>
      <c r="AZ582" s="4"/>
      <c r="BA582" s="4"/>
      <c r="BB582" s="4"/>
      <c r="BC582" s="4"/>
      <c r="BD582" s="4"/>
      <c r="BE582" s="4"/>
      <c r="BF582" s="4"/>
      <c r="BG582" s="4"/>
      <c r="BH582" s="4"/>
      <c r="BI582" s="4"/>
      <c r="BJ582" s="4"/>
      <c r="BK582" s="4"/>
      <c r="BL582" s="4"/>
      <c r="BM582" s="4"/>
      <c r="BN582" s="4"/>
      <c r="BO582" s="4"/>
      <c r="BP582" s="4"/>
      <c r="BQ582" s="4"/>
      <c r="BR582" s="4"/>
      <c r="BS582" s="4"/>
      <c r="BT582" s="4"/>
      <c r="BU582" s="4"/>
      <c r="BV582" s="4"/>
      <c r="BW582" s="4"/>
      <c r="BX582" s="4"/>
      <c r="BY582" s="4"/>
    </row>
    <row r="583" spans="1:77" ht="13.8" thickBot="1" x14ac:dyDescent="0.3">
      <c r="A583" s="15"/>
      <c r="B583" s="216"/>
      <c r="C583" s="223"/>
      <c r="D583" s="223"/>
      <c r="E583" s="223"/>
      <c r="F583" s="223"/>
      <c r="G583" s="223"/>
      <c r="H583" s="223"/>
      <c r="I583" s="223"/>
      <c r="J583" s="223"/>
      <c r="K583" s="223"/>
      <c r="L583" s="223"/>
      <c r="M583" s="223"/>
      <c r="N583" s="223"/>
      <c r="O583" s="223"/>
    </row>
    <row r="584" spans="1:77" ht="13.8" thickBot="1" x14ac:dyDescent="0.3">
      <c r="A584" s="2"/>
      <c r="B584" s="249" t="s">
        <v>320</v>
      </c>
      <c r="C584" s="245">
        <f t="shared" ref="C584:C594" si="183">SUM(D584:O584)</f>
        <v>13760.97</v>
      </c>
      <c r="D584" s="256">
        <f>SUM(D585:D588)</f>
        <v>0</v>
      </c>
      <c r="E584" s="245">
        <f>SUM(E585:E588)</f>
        <v>0</v>
      </c>
      <c r="F584" s="245">
        <f>SUM(F585:F588)</f>
        <v>0</v>
      </c>
      <c r="G584" s="245">
        <f>SUM(G585:G588)</f>
        <v>0</v>
      </c>
      <c r="H584" s="245">
        <f t="shared" ref="H584:J584" si="184">SUM(H585:H588)</f>
        <v>0</v>
      </c>
      <c r="I584" s="245">
        <f t="shared" si="184"/>
        <v>0</v>
      </c>
      <c r="J584" s="245">
        <f t="shared" si="184"/>
        <v>0</v>
      </c>
      <c r="K584" s="245">
        <f>SUM(K585:K589)</f>
        <v>0</v>
      </c>
      <c r="L584" s="368">
        <f>SUM(L585:L589)</f>
        <v>0</v>
      </c>
      <c r="M584" s="245">
        <f>SUM(M585:M588)</f>
        <v>983.5</v>
      </c>
      <c r="N584" s="245">
        <f>SUM(N585:N589)</f>
        <v>12035.97</v>
      </c>
      <c r="O584" s="256">
        <f t="shared" ref="O584" si="185">SUM(O585:O588)</f>
        <v>741.5</v>
      </c>
    </row>
    <row r="585" spans="1:77" x14ac:dyDescent="0.25">
      <c r="A585" s="14">
        <v>160</v>
      </c>
      <c r="B585" s="108" t="s">
        <v>321</v>
      </c>
      <c r="C585" s="220">
        <f t="shared" si="183"/>
        <v>45.730000000000004</v>
      </c>
      <c r="D585" s="218">
        <v>0</v>
      </c>
      <c r="E585" s="218">
        <v>0</v>
      </c>
      <c r="F585" s="218">
        <v>0</v>
      </c>
      <c r="G585" s="218">
        <v>0</v>
      </c>
      <c r="H585" s="218">
        <v>0</v>
      </c>
      <c r="I585" s="218">
        <v>0</v>
      </c>
      <c r="J585" s="218">
        <v>0</v>
      </c>
      <c r="K585" s="218">
        <v>0</v>
      </c>
      <c r="L585" s="218">
        <v>0</v>
      </c>
      <c r="M585" s="222">
        <v>17.53</v>
      </c>
      <c r="N585" s="222">
        <v>19.45</v>
      </c>
      <c r="O585" s="80">
        <v>8.75</v>
      </c>
    </row>
    <row r="586" spans="1:77" x14ac:dyDescent="0.25">
      <c r="A586" s="6">
        <v>162</v>
      </c>
      <c r="B586" s="74" t="s">
        <v>556</v>
      </c>
      <c r="C586" s="241">
        <f t="shared" si="183"/>
        <v>0</v>
      </c>
      <c r="D586" s="24">
        <v>0</v>
      </c>
      <c r="E586" s="24">
        <v>0</v>
      </c>
      <c r="F586" s="24">
        <v>0</v>
      </c>
      <c r="G586" s="24">
        <v>0</v>
      </c>
      <c r="H586" s="24">
        <v>0</v>
      </c>
      <c r="I586" s="24">
        <v>0</v>
      </c>
      <c r="J586" s="24">
        <v>0</v>
      </c>
      <c r="K586" s="24">
        <v>0</v>
      </c>
      <c r="L586" s="24">
        <v>0</v>
      </c>
      <c r="M586" s="239">
        <v>0</v>
      </c>
      <c r="N586" s="239">
        <v>0</v>
      </c>
      <c r="O586" s="70"/>
    </row>
    <row r="587" spans="1:77" x14ac:dyDescent="0.25">
      <c r="A587" s="6">
        <v>163</v>
      </c>
      <c r="B587" s="74" t="s">
        <v>322</v>
      </c>
      <c r="C587" s="346">
        <f t="shared" si="183"/>
        <v>3573.69</v>
      </c>
      <c r="D587" s="366">
        <v>0</v>
      </c>
      <c r="E587" s="366">
        <v>0</v>
      </c>
      <c r="F587" s="366">
        <v>0</v>
      </c>
      <c r="G587" s="366">
        <v>0</v>
      </c>
      <c r="H587" s="366">
        <v>0</v>
      </c>
      <c r="I587" s="366">
        <v>0</v>
      </c>
      <c r="J587" s="366">
        <v>0</v>
      </c>
      <c r="K587" s="366">
        <v>0</v>
      </c>
      <c r="L587" s="366">
        <v>0</v>
      </c>
      <c r="M587" s="243">
        <v>965.97</v>
      </c>
      <c r="N587" s="243">
        <v>1874.97</v>
      </c>
      <c r="O587" s="347">
        <v>732.75</v>
      </c>
    </row>
    <row r="588" spans="1:77" x14ac:dyDescent="0.25">
      <c r="A588" s="6">
        <v>228</v>
      </c>
      <c r="B588" s="74" t="s">
        <v>700</v>
      </c>
      <c r="C588" s="346">
        <f t="shared" si="183"/>
        <v>10141.549999999999</v>
      </c>
      <c r="D588" s="366">
        <v>0</v>
      </c>
      <c r="E588" s="366">
        <v>0</v>
      </c>
      <c r="F588" s="366">
        <v>0</v>
      </c>
      <c r="G588" s="366">
        <v>0</v>
      </c>
      <c r="H588" s="366">
        <v>0</v>
      </c>
      <c r="I588" s="366">
        <v>0</v>
      </c>
      <c r="J588" s="366">
        <v>0</v>
      </c>
      <c r="K588" s="366">
        <v>0</v>
      </c>
      <c r="L588" s="366">
        <v>0</v>
      </c>
      <c r="M588" s="243"/>
      <c r="N588" s="243">
        <v>10141.549999999999</v>
      </c>
      <c r="O588" s="347">
        <v>0</v>
      </c>
    </row>
    <row r="589" spans="1:77" ht="13.8" thickBot="1" x14ac:dyDescent="0.3">
      <c r="A589" s="15"/>
      <c r="B589" s="109"/>
      <c r="C589" s="242"/>
      <c r="D589" s="367"/>
      <c r="E589" s="367"/>
      <c r="F589" s="367"/>
      <c r="G589" s="367"/>
      <c r="H589" s="367"/>
      <c r="I589" s="367"/>
      <c r="J589" s="367"/>
      <c r="K589" s="367"/>
      <c r="L589" s="367"/>
      <c r="M589" s="244"/>
      <c r="N589" s="244"/>
      <c r="O589" s="348"/>
    </row>
    <row r="590" spans="1:77" ht="13.8" thickBot="1" x14ac:dyDescent="0.3">
      <c r="A590" s="172"/>
      <c r="B590" s="252" t="s">
        <v>323</v>
      </c>
      <c r="C590" s="201">
        <f t="shared" si="183"/>
        <v>443736.19999999995</v>
      </c>
      <c r="D590" s="365">
        <f>SUM(D591:D595)</f>
        <v>0</v>
      </c>
      <c r="E590" s="255">
        <f>SUM(E591:E595)</f>
        <v>0</v>
      </c>
      <c r="F590" s="169">
        <f>SUM(F591:F595)</f>
        <v>0</v>
      </c>
      <c r="G590" s="201">
        <f>SUM(G591:G595)</f>
        <v>0</v>
      </c>
      <c r="H590" s="201">
        <f>SUM(H591:H595)</f>
        <v>0</v>
      </c>
      <c r="I590" s="201">
        <f t="shared" ref="I590:L590" si="186">SUM(I591:I595)</f>
        <v>0</v>
      </c>
      <c r="J590" s="201">
        <f t="shared" si="186"/>
        <v>0</v>
      </c>
      <c r="K590" s="201">
        <f t="shared" si="186"/>
        <v>0</v>
      </c>
      <c r="L590" s="369">
        <f t="shared" si="186"/>
        <v>0</v>
      </c>
      <c r="M590" s="201">
        <f>SUM(M591:M595)</f>
        <v>43038.670000000006</v>
      </c>
      <c r="N590" s="201">
        <f>SUM(N591:N595)</f>
        <v>4924.2699999999995</v>
      </c>
      <c r="O590" s="169">
        <f t="shared" ref="O590" si="187">SUM(O591:O595)</f>
        <v>395773.25999999995</v>
      </c>
    </row>
    <row r="591" spans="1:77" x14ac:dyDescent="0.25">
      <c r="A591" s="14">
        <v>164</v>
      </c>
      <c r="B591" s="214" t="s">
        <v>324</v>
      </c>
      <c r="C591" s="222">
        <f t="shared" si="183"/>
        <v>9066.4</v>
      </c>
      <c r="D591" s="220">
        <v>0</v>
      </c>
      <c r="E591" s="222">
        <v>0</v>
      </c>
      <c r="F591" s="222">
        <v>0</v>
      </c>
      <c r="G591" s="222">
        <v>0</v>
      </c>
      <c r="H591" s="222">
        <v>0</v>
      </c>
      <c r="I591" s="222">
        <v>0</v>
      </c>
      <c r="J591" s="222">
        <v>0</v>
      </c>
      <c r="K591" s="222">
        <v>0</v>
      </c>
      <c r="L591" s="222">
        <v>0</v>
      </c>
      <c r="M591" s="222">
        <v>2883.39</v>
      </c>
      <c r="N591" s="222">
        <v>3095.04</v>
      </c>
      <c r="O591" s="222">
        <v>3087.97</v>
      </c>
    </row>
    <row r="592" spans="1:77" x14ac:dyDescent="0.25">
      <c r="A592" s="6">
        <v>165</v>
      </c>
      <c r="B592" s="27" t="s">
        <v>325</v>
      </c>
      <c r="C592" s="239">
        <f>SUM(D592:O592)</f>
        <v>31.22</v>
      </c>
      <c r="D592" s="241">
        <v>0</v>
      </c>
      <c r="E592" s="239">
        <v>0</v>
      </c>
      <c r="F592" s="239">
        <v>0</v>
      </c>
      <c r="G592" s="239">
        <v>0</v>
      </c>
      <c r="H592" s="239">
        <v>0</v>
      </c>
      <c r="I592" s="239">
        <v>0</v>
      </c>
      <c r="J592" s="239">
        <v>0</v>
      </c>
      <c r="K592" s="239">
        <v>0</v>
      </c>
      <c r="L592" s="239">
        <v>0</v>
      </c>
      <c r="M592" s="239">
        <v>31.22</v>
      </c>
      <c r="N592" s="239">
        <v>0</v>
      </c>
      <c r="O592" s="239">
        <v>0</v>
      </c>
    </row>
    <row r="593" spans="1:15" x14ac:dyDescent="0.25">
      <c r="A593" s="6">
        <v>166</v>
      </c>
      <c r="B593" s="27" t="s">
        <v>326</v>
      </c>
      <c r="C593" s="239">
        <f t="shared" si="183"/>
        <v>434493.58999999997</v>
      </c>
      <c r="D593" s="241">
        <v>0</v>
      </c>
      <c r="E593" s="239">
        <v>0</v>
      </c>
      <c r="F593" s="239">
        <v>0</v>
      </c>
      <c r="G593" s="239">
        <v>0</v>
      </c>
      <c r="H593" s="239">
        <v>0</v>
      </c>
      <c r="I593" s="239">
        <v>0</v>
      </c>
      <c r="J593" s="239">
        <v>0</v>
      </c>
      <c r="K593" s="239">
        <v>0</v>
      </c>
      <c r="L593" s="239">
        <v>0</v>
      </c>
      <c r="M593" s="239">
        <v>40092.300000000003</v>
      </c>
      <c r="N593" s="239">
        <v>1716</v>
      </c>
      <c r="O593" s="239">
        <v>392685.29</v>
      </c>
    </row>
    <row r="594" spans="1:15" x14ac:dyDescent="0.25">
      <c r="A594" s="6">
        <v>486</v>
      </c>
      <c r="B594" s="27" t="s">
        <v>327</v>
      </c>
      <c r="C594" s="239">
        <f t="shared" si="183"/>
        <v>144.99</v>
      </c>
      <c r="D594" s="241">
        <v>0</v>
      </c>
      <c r="E594" s="239">
        <v>0</v>
      </c>
      <c r="F594" s="239">
        <v>0</v>
      </c>
      <c r="G594" s="239">
        <v>0</v>
      </c>
      <c r="H594" s="239">
        <v>0</v>
      </c>
      <c r="I594" s="239">
        <v>0</v>
      </c>
      <c r="J594" s="239">
        <v>0</v>
      </c>
      <c r="K594" s="239">
        <v>0</v>
      </c>
      <c r="L594" s="239">
        <v>0</v>
      </c>
      <c r="M594" s="239">
        <v>31.76</v>
      </c>
      <c r="N594" s="239">
        <v>113.23</v>
      </c>
      <c r="O594" s="239">
        <v>0</v>
      </c>
    </row>
    <row r="595" spans="1:15" ht="13.8" thickBot="1" x14ac:dyDescent="0.3">
      <c r="A595" s="15">
        <v>667</v>
      </c>
      <c r="B595" s="216" t="s">
        <v>424</v>
      </c>
      <c r="C595" s="239">
        <f t="shared" ref="C595" si="188">SUM(D595:O595)</f>
        <v>0</v>
      </c>
      <c r="D595" s="221">
        <v>0</v>
      </c>
      <c r="E595" s="223">
        <v>0</v>
      </c>
      <c r="F595" s="223">
        <v>0</v>
      </c>
      <c r="G595" s="223">
        <v>0</v>
      </c>
      <c r="H595" s="223">
        <v>0</v>
      </c>
      <c r="I595" s="223">
        <v>0</v>
      </c>
      <c r="J595" s="223">
        <v>0</v>
      </c>
      <c r="K595" s="223">
        <v>0</v>
      </c>
      <c r="L595" s="223">
        <v>0</v>
      </c>
      <c r="M595" s="223">
        <v>0</v>
      </c>
      <c r="N595" s="223">
        <v>0</v>
      </c>
      <c r="O595" s="223">
        <v>0</v>
      </c>
    </row>
    <row r="596" spans="1:15" ht="13.8" thickBot="1" x14ac:dyDescent="0.3">
      <c r="A596" s="217"/>
      <c r="B596" s="250" t="s">
        <v>498</v>
      </c>
      <c r="C596" s="35">
        <f t="shared" ref="C596:C597" si="189">SUM(D596:O596)</f>
        <v>0</v>
      </c>
      <c r="D596" s="169">
        <f>SUM(D597:D598)</f>
        <v>0</v>
      </c>
      <c r="E596" s="201">
        <f>SUM(E597:E598)</f>
        <v>0</v>
      </c>
      <c r="F596" s="35">
        <f>SUM(F597:F598)</f>
        <v>0</v>
      </c>
      <c r="G596" s="35">
        <f>SUM(G597:G598)</f>
        <v>0</v>
      </c>
      <c r="H596" s="35">
        <f>SUM(H597:H598)</f>
        <v>0</v>
      </c>
      <c r="I596" s="35">
        <f t="shared" ref="I596:L596" si="190">SUM(I597:I598)</f>
        <v>0</v>
      </c>
      <c r="J596" s="35">
        <f t="shared" si="190"/>
        <v>0</v>
      </c>
      <c r="K596" s="35">
        <f t="shared" si="190"/>
        <v>0</v>
      </c>
      <c r="L596" s="35">
        <f t="shared" si="190"/>
        <v>0</v>
      </c>
      <c r="M596" s="35">
        <f>SUM(M597:M598)</f>
        <v>0</v>
      </c>
      <c r="N596" s="35">
        <f>SUM(N597:N598)</f>
        <v>0</v>
      </c>
      <c r="O596" s="35">
        <f t="shared" ref="O596" si="191">SUM(O597:O598)</f>
        <v>0</v>
      </c>
    </row>
    <row r="597" spans="1:15" x14ac:dyDescent="0.25">
      <c r="A597" s="14">
        <v>364</v>
      </c>
      <c r="B597" s="214" t="s">
        <v>328</v>
      </c>
      <c r="C597" s="239">
        <f t="shared" si="189"/>
        <v>0</v>
      </c>
      <c r="D597" s="80">
        <v>0</v>
      </c>
      <c r="E597" s="222">
        <v>0</v>
      </c>
      <c r="F597" s="222">
        <v>0</v>
      </c>
      <c r="G597" s="222">
        <v>0</v>
      </c>
      <c r="H597" s="222">
        <v>0</v>
      </c>
      <c r="I597" s="222">
        <v>0</v>
      </c>
      <c r="J597" s="222">
        <v>0</v>
      </c>
      <c r="K597" s="222">
        <v>0</v>
      </c>
      <c r="L597" s="222">
        <v>0</v>
      </c>
      <c r="M597" s="222">
        <v>0</v>
      </c>
      <c r="N597" s="222">
        <v>0</v>
      </c>
      <c r="O597" s="222">
        <v>0</v>
      </c>
    </row>
    <row r="598" spans="1:15" ht="13.8" thickBot="1" x14ac:dyDescent="0.3">
      <c r="A598" s="15"/>
      <c r="B598" s="216"/>
      <c r="C598" s="223"/>
      <c r="D598" s="72"/>
      <c r="E598" s="223"/>
      <c r="F598" s="223"/>
      <c r="G598" s="223"/>
      <c r="H598" s="223"/>
      <c r="I598" s="223"/>
      <c r="J598" s="223"/>
      <c r="K598" s="223"/>
      <c r="L598" s="223"/>
      <c r="M598" s="223"/>
      <c r="N598" s="223"/>
      <c r="O598" s="223"/>
    </row>
    <row r="599" spans="1:15" ht="13.8" thickBot="1" x14ac:dyDescent="0.3">
      <c r="A599" s="173"/>
      <c r="B599" s="246" t="s">
        <v>329</v>
      </c>
      <c r="C599" s="292">
        <f>C590+C584+C575+C538+C496+C467+C449+C443+C432+C416+C412+C403+C399+C396+C368+C364+C315+C285+C291+C437+C408+C463+C482+C446+C475+C472+C596+C479</f>
        <v>4963493.95</v>
      </c>
      <c r="D599" s="254">
        <f t="shared" ref="D599:O599" si="192">D590+D584+D575+D538+D496+D467+D449+D443+D432+D416+D412+D403+D399+D396+D368+D364+D315+D285+D291+D437+D408+D463+D482+D446+D475+D472+D596+D479</f>
        <v>0</v>
      </c>
      <c r="E599" s="254">
        <f t="shared" si="192"/>
        <v>0</v>
      </c>
      <c r="F599" s="254">
        <f t="shared" si="192"/>
        <v>0</v>
      </c>
      <c r="G599" s="254">
        <f>G590+G584+G575+G538+G496+G467+G449+G443+G432+G416+G412+G403+G399+G396+G368+G364+G315+G285+G291+G437+G408+G463+G482+G446+G475+G472+G596+G479</f>
        <v>0</v>
      </c>
      <c r="H599" s="254">
        <f t="shared" si="192"/>
        <v>0</v>
      </c>
      <c r="I599" s="291">
        <f>I590+I584+I575+I538+I496+I467+I449+I443+I432+I416+I412+I403+I399+I396+I368+I364+I315+I285+I291+I437+I408+I463+I482+I446+I475+I472+I596+I479</f>
        <v>0</v>
      </c>
      <c r="J599" s="254">
        <f>J590+J584+J575+J538+J496+J467+J449+J443+J432+J416+J412+J403+J399+J396+J368+J364+J315+J285+J291+J437+J408+J463+J482+J446+J475+J472+J596+J479</f>
        <v>0</v>
      </c>
      <c r="K599" s="254">
        <f t="shared" si="192"/>
        <v>0</v>
      </c>
      <c r="L599" s="254">
        <f t="shared" si="192"/>
        <v>0</v>
      </c>
      <c r="M599" s="254">
        <f t="shared" si="192"/>
        <v>1062510.73</v>
      </c>
      <c r="N599" s="254">
        <f t="shared" si="192"/>
        <v>1449834.74</v>
      </c>
      <c r="O599" s="254">
        <f t="shared" si="192"/>
        <v>2451148.4800000004</v>
      </c>
    </row>
    <row r="600" spans="1:15" x14ac:dyDescent="0.25">
      <c r="C600" s="10">
        <f>C599-C275</f>
        <v>0</v>
      </c>
      <c r="D600" s="10">
        <f t="shared" ref="D600:O600" si="193">D599-D275</f>
        <v>0</v>
      </c>
      <c r="E600" s="10">
        <f>E599-E275</f>
        <v>0</v>
      </c>
      <c r="F600" s="10">
        <f t="shared" si="193"/>
        <v>0</v>
      </c>
      <c r="G600" s="10">
        <f>G599-G275</f>
        <v>0</v>
      </c>
      <c r="H600" s="10">
        <f t="shared" si="193"/>
        <v>0</v>
      </c>
      <c r="I600" s="10">
        <f t="shared" si="193"/>
        <v>0</v>
      </c>
      <c r="J600" s="10">
        <f t="shared" si="193"/>
        <v>0</v>
      </c>
      <c r="K600" s="10">
        <f t="shared" si="193"/>
        <v>0</v>
      </c>
      <c r="L600" s="10">
        <f t="shared" si="193"/>
        <v>0</v>
      </c>
      <c r="M600" s="10">
        <f t="shared" si="193"/>
        <v>0</v>
      </c>
      <c r="N600" s="10">
        <f t="shared" si="193"/>
        <v>0</v>
      </c>
      <c r="O600" s="10">
        <f t="shared" si="193"/>
        <v>0</v>
      </c>
    </row>
    <row r="601" spans="1:15" x14ac:dyDescent="0.25"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</row>
    <row r="602" spans="1:15" x14ac:dyDescent="0.25"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</row>
    <row r="603" spans="1:15" x14ac:dyDescent="0.25">
      <c r="C603" s="21"/>
    </row>
    <row r="604" spans="1:15" x14ac:dyDescent="0.25">
      <c r="C604" s="12"/>
    </row>
    <row r="609" spans="9:9" x14ac:dyDescent="0.25">
      <c r="I609" s="12"/>
    </row>
  </sheetData>
  <mergeCells count="6">
    <mergeCell ref="P1:R2"/>
    <mergeCell ref="A239:B239"/>
    <mergeCell ref="A1:O1"/>
    <mergeCell ref="A166:B166"/>
    <mergeCell ref="A205:O205"/>
    <mergeCell ref="A206:B206"/>
  </mergeCells>
  <phoneticPr fontId="28" type="noConversion"/>
  <printOptions horizontalCentered="1"/>
  <pageMargins left="0.70866141732283472" right="0.70866141732283472" top="0.35433070866141736" bottom="0.35433070866141736" header="0.31496062992125984" footer="0.31496062992125984"/>
  <pageSetup paperSize="9" scale="55" fitToHeight="0" orientation="landscape" r:id="rId1"/>
  <headerFooter alignWithMargins="0">
    <oddFooter>&amp;R&amp;P</oddFooter>
  </headerFooter>
  <rowBreaks count="1" manualBreakCount="1">
    <brk id="194" max="16383" man="1"/>
  </rowBreaks>
  <ignoredErrors>
    <ignoredError sqref="C398 C287 C284 P166:P167 P165 P164 F164:F165 P194:P195 P208 P196 P206 P200:P201 P204 E137 P202 H164:H165 J164:J165 M164:O164 L165:O165 I165 K164:L164 K165 I164 I159 K137 K163:L163 I163 N137 I137 K159:O159 O137 M163:N163 J159 J137 H137 H159 F137:G137 G159 F159 P163 P162 P158:P159 M202:N202 F202 O194 A197 A194:C195 A201:C202 A205:C205 A203 A199:C199 H204:J204 A204 F205:O205 A198 F201:O201 A206:C206 A196:C196 A208:B208 F195:J195 K195:O195 D195:E195 D201:E201 D205:E205 E204:G204 E203:F203 C197 J202:K202 J163 O158 G163 F163 A200:B200" formulaRange="1"/>
    <ignoredError sqref="C527 D442 P437 C386:C390 C342:C350 C367 C358 C567 O432:P432 O443:P443 C364:C365 P442 C371:C384 C443 C432:C433 C439:C441 C442 C435:C437 C429:C431 C438 C444:C494 C434" formula="1"/>
    <ignoredError sqref="A83:A92 A529 A40:A41 A52 A93:B95 A96:A97 A132:B132 A106:B109 A44:B45 A54:B57 A42:B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53F02-577F-4795-9745-468EDD612848}">
  <sheetPr>
    <pageSetUpPr fitToPage="1"/>
  </sheetPr>
  <dimension ref="B3:AA139"/>
  <sheetViews>
    <sheetView showGridLines="0" zoomScale="70" zoomScaleNormal="70" workbookViewId="0">
      <pane xSplit="2" ySplit="2" topLeftCell="C82" activePane="bottomRight" state="frozen"/>
      <selection pane="topRight" activeCell="C1" sqref="C1"/>
      <selection pane="bottomLeft" activeCell="A3" sqref="A3"/>
      <selection pane="bottomRight" activeCell="E59" sqref="E59"/>
    </sheetView>
  </sheetViews>
  <sheetFormatPr defaultColWidth="9.109375" defaultRowHeight="15.6" x14ac:dyDescent="0.3"/>
  <cols>
    <col min="1" max="1" width="3.44140625" style="56" customWidth="1"/>
    <col min="2" max="2" width="46.5546875" style="56" customWidth="1"/>
    <col min="3" max="3" width="15.109375" style="57" customWidth="1"/>
    <col min="4" max="14" width="16.109375" style="56" customWidth="1"/>
    <col min="15" max="15" width="3.44140625" style="185" customWidth="1"/>
    <col min="16" max="16" width="12.88671875" style="224" bestFit="1" customWidth="1"/>
    <col min="17" max="17" width="17.5546875" style="224" customWidth="1"/>
    <col min="18" max="18" width="11.6640625" style="185" customWidth="1"/>
    <col min="19" max="19" width="10.44140625" style="185" customWidth="1"/>
    <col min="20" max="20" width="13.109375" style="185" customWidth="1"/>
    <col min="21" max="21" width="9.44140625" style="185" customWidth="1"/>
    <col min="22" max="22" width="13.6640625" style="193" bestFit="1" customWidth="1"/>
    <col min="23" max="23" width="13.88671875" style="193" customWidth="1"/>
    <col min="24" max="24" width="14.88671875" style="185" customWidth="1"/>
    <col min="25" max="25" width="9.109375" style="185"/>
    <col min="26" max="27" width="11.33203125" style="185" bestFit="1" customWidth="1"/>
    <col min="28" max="16384" width="9.109375" style="56"/>
  </cols>
  <sheetData>
    <row r="3" spans="2:27" x14ac:dyDescent="0.3">
      <c r="B3" s="59" t="s">
        <v>330</v>
      </c>
      <c r="C3" s="83">
        <v>45658</v>
      </c>
      <c r="D3" s="83">
        <v>45689</v>
      </c>
      <c r="E3" s="83">
        <v>45717</v>
      </c>
      <c r="F3" s="83">
        <v>45748</v>
      </c>
      <c r="G3" s="83">
        <v>45778</v>
      </c>
      <c r="H3" s="83">
        <v>45809</v>
      </c>
      <c r="I3" s="83">
        <v>45839</v>
      </c>
      <c r="J3" s="83">
        <v>45870</v>
      </c>
      <c r="K3" s="83">
        <v>45901</v>
      </c>
      <c r="L3" s="83">
        <v>45931</v>
      </c>
      <c r="M3" s="83">
        <v>45962</v>
      </c>
      <c r="N3" s="83">
        <v>45992</v>
      </c>
    </row>
    <row r="4" spans="2:27" x14ac:dyDescent="0.3">
      <c r="B4" s="58" t="s">
        <v>331</v>
      </c>
      <c r="C4" s="87">
        <v>364128.22</v>
      </c>
      <c r="D4" s="87">
        <v>604150.32999999996</v>
      </c>
      <c r="E4" s="87">
        <v>265944.93</v>
      </c>
      <c r="F4" s="87">
        <v>0</v>
      </c>
      <c r="G4" s="87">
        <v>0</v>
      </c>
      <c r="H4" s="87">
        <v>0</v>
      </c>
      <c r="I4" s="87">
        <v>0</v>
      </c>
      <c r="J4" s="87">
        <v>0</v>
      </c>
      <c r="K4" s="87">
        <v>0</v>
      </c>
      <c r="L4" s="87">
        <v>0</v>
      </c>
      <c r="M4" s="87">
        <v>0</v>
      </c>
      <c r="N4" s="87">
        <v>0</v>
      </c>
      <c r="P4" s="225" t="s">
        <v>425</v>
      </c>
      <c r="Q4" s="226">
        <f>SUM(C4:N4)+C8</f>
        <v>2511722.5499999998</v>
      </c>
      <c r="R4" s="185" t="s">
        <v>499</v>
      </c>
    </row>
    <row r="5" spans="2:27" x14ac:dyDescent="0.3">
      <c r="B5" s="58" t="s">
        <v>332</v>
      </c>
      <c r="C5" s="87">
        <f>SUM(Balancete!O245:O255)</f>
        <v>1220900.3199999998</v>
      </c>
      <c r="D5" s="87">
        <f>SUM(Balancete!N245:N256)</f>
        <v>645930.97</v>
      </c>
      <c r="E5" s="87">
        <f>SUM(Balancete!M245:M255)</f>
        <v>456452.54</v>
      </c>
      <c r="F5" s="87">
        <f>SUM(Balancete!L245:L255)</f>
        <v>0</v>
      </c>
      <c r="G5" s="87">
        <f>SUM(Balancete!K245:K255)</f>
        <v>0</v>
      </c>
      <c r="H5" s="87">
        <f>SUM(Balancete!J245:J255)</f>
        <v>0</v>
      </c>
      <c r="I5" s="87">
        <f>SUM(Balancete!I245:I255)</f>
        <v>0</v>
      </c>
      <c r="J5" s="87">
        <f>SUM(Balancete!H242:H256)</f>
        <v>0</v>
      </c>
      <c r="K5" s="87">
        <f>SUM(Balancete!G245:G255)</f>
        <v>0</v>
      </c>
      <c r="L5" s="87">
        <f>SUM(Balancete!F245:F255)</f>
        <v>0</v>
      </c>
      <c r="M5" s="87">
        <f>SUM(Balancete!E245:E255)</f>
        <v>0</v>
      </c>
      <c r="N5" s="87">
        <f>SUM(Balancete!D245:D255)</f>
        <v>0</v>
      </c>
      <c r="P5" s="224" t="s">
        <v>426</v>
      </c>
      <c r="Q5" s="226">
        <f>SUM(C5:N6)</f>
        <v>2329578.3199999998</v>
      </c>
      <c r="R5" s="185" t="s">
        <v>502</v>
      </c>
      <c r="AA5" s="56"/>
    </row>
    <row r="6" spans="2:27" x14ac:dyDescent="0.3">
      <c r="B6" s="58" t="s">
        <v>333</v>
      </c>
      <c r="C6" s="87">
        <v>0</v>
      </c>
      <c r="D6" s="87">
        <v>0</v>
      </c>
      <c r="E6" s="87">
        <v>6294.49</v>
      </c>
      <c r="F6" s="87">
        <v>0</v>
      </c>
      <c r="G6" s="87">
        <v>0</v>
      </c>
      <c r="H6" s="87">
        <v>0</v>
      </c>
      <c r="I6" s="87">
        <v>0</v>
      </c>
      <c r="J6" s="87">
        <v>0</v>
      </c>
      <c r="K6" s="87">
        <v>0</v>
      </c>
      <c r="L6" s="87">
        <v>0</v>
      </c>
      <c r="M6" s="87">
        <v>0</v>
      </c>
      <c r="N6" s="87">
        <v>0</v>
      </c>
      <c r="P6" s="224" t="s">
        <v>605</v>
      </c>
      <c r="Q6" s="227">
        <f>Q4-Q5</f>
        <v>182144.22999999998</v>
      </c>
      <c r="R6" s="205" t="str">
        <f>IF(Q6&gt;=0,"Valor lançado no Passivo - 359","Valor lançado no Ativo - 409")</f>
        <v>Valor lançado no Passivo - 359</v>
      </c>
    </row>
    <row r="7" spans="2:27" x14ac:dyDescent="0.3">
      <c r="B7" s="58" t="s">
        <v>334</v>
      </c>
      <c r="C7" s="87">
        <f t="shared" ref="C7:N7" si="0">C4-C5-C6</f>
        <v>-856772.09999999986</v>
      </c>
      <c r="D7" s="87">
        <f t="shared" si="0"/>
        <v>-41780.640000000014</v>
      </c>
      <c r="E7" s="87">
        <f t="shared" si="0"/>
        <v>-196802.09999999998</v>
      </c>
      <c r="F7" s="87">
        <f t="shared" si="0"/>
        <v>0</v>
      </c>
      <c r="G7" s="87">
        <f t="shared" si="0"/>
        <v>0</v>
      </c>
      <c r="H7" s="87">
        <f t="shared" si="0"/>
        <v>0</v>
      </c>
      <c r="I7" s="87">
        <f>I4-I5-I6</f>
        <v>0</v>
      </c>
      <c r="J7" s="87">
        <f t="shared" si="0"/>
        <v>0</v>
      </c>
      <c r="K7" s="87">
        <f t="shared" si="0"/>
        <v>0</v>
      </c>
      <c r="L7" s="87">
        <f>L4-L5-L6</f>
        <v>0</v>
      </c>
      <c r="M7" s="87">
        <f t="shared" si="0"/>
        <v>0</v>
      </c>
      <c r="N7" s="87">
        <f t="shared" si="0"/>
        <v>0</v>
      </c>
      <c r="P7" s="227"/>
      <c r="Q7" s="227"/>
    </row>
    <row r="8" spans="2:27" x14ac:dyDescent="0.3">
      <c r="B8" s="58" t="s">
        <v>335</v>
      </c>
      <c r="C8" s="87">
        <v>1277499.07</v>
      </c>
      <c r="D8" s="87">
        <f>C9</f>
        <v>420726.9700000002</v>
      </c>
      <c r="E8" s="87">
        <f>D9</f>
        <v>378946.33000000019</v>
      </c>
      <c r="F8" s="87"/>
      <c r="G8" s="87">
        <f t="shared" ref="G8:N8" si="1">F9</f>
        <v>0</v>
      </c>
      <c r="H8" s="87">
        <f t="shared" si="1"/>
        <v>0</v>
      </c>
      <c r="I8" s="87">
        <f t="shared" si="1"/>
        <v>0</v>
      </c>
      <c r="J8" s="87">
        <f t="shared" si="1"/>
        <v>0</v>
      </c>
      <c r="K8" s="87">
        <f t="shared" si="1"/>
        <v>0</v>
      </c>
      <c r="L8" s="87">
        <f t="shared" si="1"/>
        <v>0</v>
      </c>
      <c r="M8" s="87">
        <f t="shared" si="1"/>
        <v>0</v>
      </c>
      <c r="N8" s="87">
        <f t="shared" si="1"/>
        <v>0</v>
      </c>
      <c r="P8" s="227"/>
      <c r="Y8" s="200"/>
    </row>
    <row r="9" spans="2:27" x14ac:dyDescent="0.3">
      <c r="B9" s="59" t="s">
        <v>336</v>
      </c>
      <c r="C9" s="84">
        <f>C8+C7</f>
        <v>420726.9700000002</v>
      </c>
      <c r="D9" s="84">
        <f>D8+D7</f>
        <v>378946.33000000019</v>
      </c>
      <c r="E9" s="84">
        <f>E8+E7</f>
        <v>182144.23000000021</v>
      </c>
      <c r="F9" s="84">
        <f>F8+F7</f>
        <v>0</v>
      </c>
      <c r="G9" s="84">
        <f>G7+G8</f>
        <v>0</v>
      </c>
      <c r="H9" s="84">
        <f>H7+H8</f>
        <v>0</v>
      </c>
      <c r="I9" s="84">
        <f t="shared" ref="I9:N9" si="2">I8+I7</f>
        <v>0</v>
      </c>
      <c r="J9" s="84">
        <f t="shared" si="2"/>
        <v>0</v>
      </c>
      <c r="K9" s="84">
        <f t="shared" si="2"/>
        <v>0</v>
      </c>
      <c r="L9" s="84">
        <f t="shared" si="2"/>
        <v>0</v>
      </c>
      <c r="M9" s="84">
        <f t="shared" si="2"/>
        <v>0</v>
      </c>
      <c r="N9" s="84">
        <f t="shared" si="2"/>
        <v>0</v>
      </c>
      <c r="Q9" s="227"/>
    </row>
    <row r="10" spans="2:27" x14ac:dyDescent="0.3">
      <c r="D10" s="62"/>
      <c r="E10" s="62"/>
      <c r="F10" s="62"/>
      <c r="G10" s="62"/>
      <c r="H10" s="62"/>
      <c r="K10" s="61"/>
    </row>
    <row r="11" spans="2:27" x14ac:dyDescent="0.3">
      <c r="D11" s="57"/>
      <c r="E11" s="57"/>
      <c r="F11" s="57"/>
      <c r="G11" s="57"/>
      <c r="H11" s="57"/>
      <c r="I11" s="57"/>
      <c r="J11" s="57"/>
      <c r="K11" s="57"/>
      <c r="L11" s="57"/>
      <c r="M11" s="61"/>
      <c r="P11" s="227"/>
    </row>
    <row r="12" spans="2:27" x14ac:dyDescent="0.3">
      <c r="B12" s="60" t="s">
        <v>337</v>
      </c>
      <c r="C12" s="85">
        <f t="shared" ref="C12:N12" si="3">C3</f>
        <v>45658</v>
      </c>
      <c r="D12" s="85">
        <f t="shared" si="3"/>
        <v>45689</v>
      </c>
      <c r="E12" s="85">
        <f t="shared" si="3"/>
        <v>45717</v>
      </c>
      <c r="F12" s="85">
        <f t="shared" si="3"/>
        <v>45748</v>
      </c>
      <c r="G12" s="85">
        <f t="shared" si="3"/>
        <v>45778</v>
      </c>
      <c r="H12" s="85">
        <f t="shared" si="3"/>
        <v>45809</v>
      </c>
      <c r="I12" s="85">
        <f t="shared" si="3"/>
        <v>45839</v>
      </c>
      <c r="J12" s="85">
        <f t="shared" si="3"/>
        <v>45870</v>
      </c>
      <c r="K12" s="85">
        <f t="shared" si="3"/>
        <v>45901</v>
      </c>
      <c r="L12" s="85">
        <f t="shared" si="3"/>
        <v>45931</v>
      </c>
      <c r="M12" s="85">
        <f t="shared" si="3"/>
        <v>45962</v>
      </c>
      <c r="N12" s="85">
        <f t="shared" si="3"/>
        <v>45992</v>
      </c>
      <c r="Z12" s="200"/>
    </row>
    <row r="13" spans="2:27" x14ac:dyDescent="0.3">
      <c r="B13" s="58" t="s">
        <v>338</v>
      </c>
      <c r="C13" s="82">
        <v>1021549.31</v>
      </c>
      <c r="D13" s="82">
        <v>431306.09</v>
      </c>
      <c r="E13" s="82">
        <v>98683.77</v>
      </c>
      <c r="F13" s="82">
        <v>0</v>
      </c>
      <c r="G13" s="82">
        <v>0</v>
      </c>
      <c r="H13" s="82">
        <v>0</v>
      </c>
      <c r="I13" s="82">
        <v>0</v>
      </c>
      <c r="J13" s="82">
        <v>0</v>
      </c>
      <c r="K13" s="82">
        <v>0</v>
      </c>
      <c r="L13" s="82">
        <v>0</v>
      </c>
      <c r="M13" s="82">
        <v>0</v>
      </c>
      <c r="N13" s="82">
        <v>0</v>
      </c>
      <c r="P13" s="224" t="s">
        <v>425</v>
      </c>
      <c r="Q13" s="227">
        <f>SUM(C13:N13)+C17</f>
        <v>1576847.57</v>
      </c>
      <c r="R13" s="185" t="s">
        <v>500</v>
      </c>
    </row>
    <row r="14" spans="2:27" x14ac:dyDescent="0.3">
      <c r="B14" s="58" t="s">
        <v>339</v>
      </c>
      <c r="C14" s="87">
        <f>SUM(Balancete!O257)</f>
        <v>755350.04</v>
      </c>
      <c r="D14" s="87">
        <f>SUM(Balancete!N257)</f>
        <v>503540.96999999991</v>
      </c>
      <c r="E14" s="87">
        <f>SUM(Balancete!M257)</f>
        <v>166704.35</v>
      </c>
      <c r="F14" s="87">
        <f>SUM(Balancete!L257)</f>
        <v>0</v>
      </c>
      <c r="G14" s="87">
        <f>SUM(Balancete!K257)</f>
        <v>0</v>
      </c>
      <c r="H14" s="87">
        <f>SUM(Balancete!J257)</f>
        <v>0</v>
      </c>
      <c r="I14" s="87">
        <f>SUM(Balancete!I257)</f>
        <v>0</v>
      </c>
      <c r="J14" s="87">
        <f>SUM(Balancete!H257)</f>
        <v>0</v>
      </c>
      <c r="K14" s="87">
        <f>SUM(Balancete!G257)</f>
        <v>0</v>
      </c>
      <c r="L14" s="87">
        <f>SUM(Balancete!F257)</f>
        <v>0</v>
      </c>
      <c r="M14" s="87">
        <f>Balancete!E257</f>
        <v>0</v>
      </c>
      <c r="N14" s="87">
        <f>SUM(Balancete!D257)</f>
        <v>0</v>
      </c>
      <c r="P14" s="224" t="s">
        <v>426</v>
      </c>
      <c r="Q14" s="226">
        <f>SUM(C14:N15)</f>
        <v>1425595.36</v>
      </c>
      <c r="R14" s="185" t="s">
        <v>502</v>
      </c>
    </row>
    <row r="15" spans="2:27" x14ac:dyDescent="0.3">
      <c r="B15" s="58" t="s">
        <v>333</v>
      </c>
      <c r="C15" s="87">
        <v>0</v>
      </c>
      <c r="D15" s="87">
        <v>0</v>
      </c>
      <c r="E15" s="87">
        <v>0</v>
      </c>
      <c r="F15" s="87">
        <v>0</v>
      </c>
      <c r="G15" s="87">
        <v>0</v>
      </c>
      <c r="H15" s="87">
        <v>0</v>
      </c>
      <c r="I15" s="87">
        <v>0</v>
      </c>
      <c r="J15" s="87"/>
      <c r="K15" s="87">
        <v>0</v>
      </c>
      <c r="L15" s="87">
        <v>0</v>
      </c>
      <c r="M15" s="87">
        <v>0</v>
      </c>
      <c r="N15" s="87">
        <v>0</v>
      </c>
      <c r="P15" s="224" t="s">
        <v>605</v>
      </c>
      <c r="Q15" s="227">
        <f>Q13-Q14</f>
        <v>151252.20999999996</v>
      </c>
      <c r="R15" s="205" t="str">
        <f>IF(Q15&gt;=0,"Valor lançado no Passivo - 522","Valor lançado no Ativo - 552")</f>
        <v>Valor lançado no Passivo - 522</v>
      </c>
    </row>
    <row r="16" spans="2:27" x14ac:dyDescent="0.3">
      <c r="B16" s="58" t="s">
        <v>334</v>
      </c>
      <c r="C16" s="87">
        <f t="shared" ref="C16:I16" si="4">C13-C14-C15</f>
        <v>266199.27</v>
      </c>
      <c r="D16" s="87">
        <f t="shared" si="4"/>
        <v>-72234.879999999888</v>
      </c>
      <c r="E16" s="87">
        <f t="shared" si="4"/>
        <v>-68020.58</v>
      </c>
      <c r="F16" s="87">
        <f t="shared" si="4"/>
        <v>0</v>
      </c>
      <c r="G16" s="87">
        <f t="shared" si="4"/>
        <v>0</v>
      </c>
      <c r="H16" s="87">
        <f t="shared" si="4"/>
        <v>0</v>
      </c>
      <c r="I16" s="87">
        <f t="shared" si="4"/>
        <v>0</v>
      </c>
      <c r="J16" s="87">
        <f t="shared" ref="J16:K16" si="5">J13-J14-J15</f>
        <v>0</v>
      </c>
      <c r="K16" s="87">
        <f t="shared" si="5"/>
        <v>0</v>
      </c>
      <c r="L16" s="87">
        <f t="shared" ref="L16:N16" si="6">L13-L14-L15</f>
        <v>0</v>
      </c>
      <c r="M16" s="87">
        <f t="shared" si="6"/>
        <v>0</v>
      </c>
      <c r="N16" s="87">
        <f t="shared" si="6"/>
        <v>0</v>
      </c>
      <c r="P16" s="227"/>
      <c r="R16" s="204"/>
    </row>
    <row r="17" spans="2:22" x14ac:dyDescent="0.3">
      <c r="B17" s="58" t="s">
        <v>335</v>
      </c>
      <c r="C17" s="87">
        <v>25308.400000000001</v>
      </c>
      <c r="D17" s="87">
        <f>C18</f>
        <v>291507.67000000004</v>
      </c>
      <c r="E17" s="87">
        <f>D18</f>
        <v>219272.79000000015</v>
      </c>
      <c r="F17" s="87"/>
      <c r="G17" s="87">
        <f t="shared" ref="G17:N17" si="7">F18</f>
        <v>0</v>
      </c>
      <c r="H17" s="87">
        <f t="shared" si="7"/>
        <v>0</v>
      </c>
      <c r="I17" s="87">
        <f t="shared" si="7"/>
        <v>0</v>
      </c>
      <c r="J17" s="87">
        <f t="shared" si="7"/>
        <v>0</v>
      </c>
      <c r="K17" s="87">
        <f t="shared" si="7"/>
        <v>0</v>
      </c>
      <c r="L17" s="87">
        <f t="shared" si="7"/>
        <v>0</v>
      </c>
      <c r="M17" s="87">
        <f t="shared" si="7"/>
        <v>0</v>
      </c>
      <c r="N17" s="87">
        <f t="shared" si="7"/>
        <v>0</v>
      </c>
    </row>
    <row r="18" spans="2:22" x14ac:dyDescent="0.3">
      <c r="B18" s="60" t="s">
        <v>336</v>
      </c>
      <c r="C18" s="86">
        <f>C16+C17</f>
        <v>291507.67000000004</v>
      </c>
      <c r="D18" s="86">
        <f>D16+D17</f>
        <v>219272.79000000015</v>
      </c>
      <c r="E18" s="86">
        <f>E16+E17</f>
        <v>151252.21000000014</v>
      </c>
      <c r="F18" s="86">
        <f t="shared" ref="F18:N18" si="8">F17+F16</f>
        <v>0</v>
      </c>
      <c r="G18" s="86">
        <f t="shared" si="8"/>
        <v>0</v>
      </c>
      <c r="H18" s="86">
        <f t="shared" si="8"/>
        <v>0</v>
      </c>
      <c r="I18" s="86">
        <f t="shared" si="8"/>
        <v>0</v>
      </c>
      <c r="J18" s="86">
        <f t="shared" si="8"/>
        <v>0</v>
      </c>
      <c r="K18" s="86">
        <f t="shared" si="8"/>
        <v>0</v>
      </c>
      <c r="L18" s="86">
        <f t="shared" si="8"/>
        <v>0</v>
      </c>
      <c r="M18" s="86">
        <f t="shared" si="8"/>
        <v>0</v>
      </c>
      <c r="N18" s="86">
        <f t="shared" si="8"/>
        <v>0</v>
      </c>
    </row>
    <row r="19" spans="2:22" x14ac:dyDescent="0.3">
      <c r="F19" s="61"/>
      <c r="G19" s="61"/>
      <c r="H19" s="61"/>
      <c r="T19" s="224"/>
      <c r="U19" s="224"/>
    </row>
    <row r="20" spans="2:22" hidden="1" x14ac:dyDescent="0.3">
      <c r="T20" s="224"/>
      <c r="U20" s="224"/>
    </row>
    <row r="21" spans="2:22" hidden="1" x14ac:dyDescent="0.3">
      <c r="B21" s="91" t="s">
        <v>340</v>
      </c>
      <c r="C21" s="92">
        <f t="shared" ref="C21:N21" si="9">C12</f>
        <v>45658</v>
      </c>
      <c r="D21" s="92">
        <f t="shared" si="9"/>
        <v>45689</v>
      </c>
      <c r="E21" s="92">
        <f t="shared" si="9"/>
        <v>45717</v>
      </c>
      <c r="F21" s="92">
        <f t="shared" si="9"/>
        <v>45748</v>
      </c>
      <c r="G21" s="92">
        <f t="shared" si="9"/>
        <v>45778</v>
      </c>
      <c r="H21" s="92">
        <f t="shared" si="9"/>
        <v>45809</v>
      </c>
      <c r="I21" s="92">
        <f t="shared" si="9"/>
        <v>45839</v>
      </c>
      <c r="J21" s="92">
        <f t="shared" si="9"/>
        <v>45870</v>
      </c>
      <c r="K21" s="92">
        <f t="shared" si="9"/>
        <v>45901</v>
      </c>
      <c r="L21" s="92">
        <f t="shared" si="9"/>
        <v>45931</v>
      </c>
      <c r="M21" s="92">
        <f t="shared" si="9"/>
        <v>45962</v>
      </c>
      <c r="N21" s="92">
        <f t="shared" si="9"/>
        <v>45992</v>
      </c>
      <c r="T21" s="224"/>
      <c r="U21" s="224"/>
    </row>
    <row r="22" spans="2:22" hidden="1" x14ac:dyDescent="0.3">
      <c r="B22" s="58" t="s">
        <v>341</v>
      </c>
      <c r="C22" s="87">
        <v>0</v>
      </c>
      <c r="D22" s="87">
        <v>0</v>
      </c>
      <c r="E22" s="87">
        <v>0</v>
      </c>
      <c r="F22" s="87">
        <v>0</v>
      </c>
      <c r="G22" s="87">
        <v>0</v>
      </c>
      <c r="H22" s="87">
        <v>0</v>
      </c>
      <c r="I22" s="87">
        <v>0</v>
      </c>
      <c r="J22" s="87">
        <v>0</v>
      </c>
      <c r="K22" s="87">
        <v>0</v>
      </c>
      <c r="L22" s="87">
        <v>0</v>
      </c>
      <c r="M22" s="87">
        <v>0</v>
      </c>
      <c r="N22" s="87">
        <v>0</v>
      </c>
      <c r="T22" s="224"/>
      <c r="U22" s="224"/>
    </row>
    <row r="23" spans="2:22" hidden="1" x14ac:dyDescent="0.3">
      <c r="B23" s="58" t="s">
        <v>342</v>
      </c>
      <c r="C23" s="87">
        <f>Balancete!O243</f>
        <v>0</v>
      </c>
      <c r="D23" s="87">
        <f>Balancete!N243*0</f>
        <v>0</v>
      </c>
      <c r="E23" s="87">
        <f>Balancete!M243</f>
        <v>0</v>
      </c>
      <c r="F23" s="87">
        <f>Balancete!L243</f>
        <v>0</v>
      </c>
      <c r="G23" s="87">
        <f>Balancete!K243</f>
        <v>0</v>
      </c>
      <c r="H23" s="87">
        <f>Balancete!L243</f>
        <v>0</v>
      </c>
      <c r="I23" s="87">
        <f>Balancete!M243</f>
        <v>0</v>
      </c>
      <c r="J23" s="87">
        <f>Balancete!H289</f>
        <v>3</v>
      </c>
      <c r="K23" s="87">
        <f>Balancete!G289</f>
        <v>2</v>
      </c>
      <c r="L23" s="87">
        <f>Balancete!F243</f>
        <v>0</v>
      </c>
      <c r="M23" s="87">
        <f>Balancete!E243</f>
        <v>0</v>
      </c>
      <c r="N23" s="87">
        <f>Balancete!D243</f>
        <v>0</v>
      </c>
      <c r="T23" s="224"/>
      <c r="U23" s="224"/>
    </row>
    <row r="24" spans="2:22" hidden="1" x14ac:dyDescent="0.3">
      <c r="B24" s="58" t="s">
        <v>333</v>
      </c>
      <c r="C24" s="87">
        <v>0</v>
      </c>
      <c r="D24" s="87">
        <v>0</v>
      </c>
      <c r="E24" s="87">
        <v>0</v>
      </c>
      <c r="F24" s="87">
        <v>0</v>
      </c>
      <c r="G24" s="87">
        <v>0</v>
      </c>
      <c r="H24" s="87">
        <v>0</v>
      </c>
      <c r="I24" s="87">
        <v>0</v>
      </c>
      <c r="J24" s="87">
        <v>0</v>
      </c>
      <c r="K24" s="87">
        <v>0</v>
      </c>
      <c r="L24" s="87">
        <v>0</v>
      </c>
      <c r="M24" s="87">
        <v>0</v>
      </c>
      <c r="N24" s="87">
        <v>0</v>
      </c>
      <c r="T24" s="224"/>
      <c r="U24" s="224"/>
    </row>
    <row r="25" spans="2:22" hidden="1" x14ac:dyDescent="0.3">
      <c r="B25" s="58" t="s">
        <v>334</v>
      </c>
      <c r="C25" s="87">
        <f>C23-C22</f>
        <v>0</v>
      </c>
      <c r="D25" s="87">
        <f>D23-D22</f>
        <v>0</v>
      </c>
      <c r="E25" s="87">
        <f t="shared" ref="E25:N25" si="10">E23-E22+E24</f>
        <v>0</v>
      </c>
      <c r="F25" s="87">
        <f t="shared" si="10"/>
        <v>0</v>
      </c>
      <c r="G25" s="87">
        <f t="shared" si="10"/>
        <v>0</v>
      </c>
      <c r="H25" s="87">
        <f t="shared" si="10"/>
        <v>0</v>
      </c>
      <c r="I25" s="87">
        <f t="shared" si="10"/>
        <v>0</v>
      </c>
      <c r="J25" s="87">
        <f t="shared" si="10"/>
        <v>3</v>
      </c>
      <c r="K25" s="87">
        <f t="shared" si="10"/>
        <v>2</v>
      </c>
      <c r="L25" s="87">
        <f t="shared" si="10"/>
        <v>0</v>
      </c>
      <c r="M25" s="87">
        <f t="shared" si="10"/>
        <v>0</v>
      </c>
      <c r="N25" s="87">
        <f t="shared" si="10"/>
        <v>0</v>
      </c>
      <c r="T25" s="224"/>
      <c r="U25" s="224"/>
    </row>
    <row r="26" spans="2:22" hidden="1" x14ac:dyDescent="0.3">
      <c r="B26" s="58" t="s">
        <v>335</v>
      </c>
      <c r="C26" s="87">
        <v>0</v>
      </c>
      <c r="D26" s="87">
        <v>0</v>
      </c>
      <c r="E26" s="87">
        <v>0</v>
      </c>
      <c r="F26" s="87">
        <f t="shared" ref="F26:N26" si="11">E27</f>
        <v>0</v>
      </c>
      <c r="G26" s="87">
        <f t="shared" si="11"/>
        <v>0</v>
      </c>
      <c r="H26" s="87">
        <f t="shared" si="11"/>
        <v>0</v>
      </c>
      <c r="I26" s="87">
        <f t="shared" si="11"/>
        <v>0</v>
      </c>
      <c r="J26" s="87">
        <f t="shared" si="11"/>
        <v>0</v>
      </c>
      <c r="K26" s="87">
        <f t="shared" si="11"/>
        <v>-3</v>
      </c>
      <c r="L26" s="87">
        <f t="shared" si="11"/>
        <v>-5</v>
      </c>
      <c r="M26" s="87">
        <f t="shared" si="11"/>
        <v>-5</v>
      </c>
      <c r="N26" s="87">
        <f t="shared" si="11"/>
        <v>-5</v>
      </c>
      <c r="T26" s="224"/>
      <c r="U26" s="224"/>
    </row>
    <row r="27" spans="2:22" hidden="1" x14ac:dyDescent="0.3">
      <c r="B27" s="91" t="s">
        <v>336</v>
      </c>
      <c r="C27" s="93">
        <f>C26</f>
        <v>0</v>
      </c>
      <c r="D27" s="93">
        <v>0</v>
      </c>
      <c r="E27" s="93">
        <f t="shared" ref="E27:N27" si="12">E26-E25</f>
        <v>0</v>
      </c>
      <c r="F27" s="93">
        <f t="shared" si="12"/>
        <v>0</v>
      </c>
      <c r="G27" s="93">
        <f t="shared" si="12"/>
        <v>0</v>
      </c>
      <c r="H27" s="93">
        <f t="shared" si="12"/>
        <v>0</v>
      </c>
      <c r="I27" s="93">
        <f t="shared" si="12"/>
        <v>0</v>
      </c>
      <c r="J27" s="93">
        <f t="shared" si="12"/>
        <v>-3</v>
      </c>
      <c r="K27" s="93">
        <f t="shared" si="12"/>
        <v>-5</v>
      </c>
      <c r="L27" s="93">
        <f t="shared" si="12"/>
        <v>-5</v>
      </c>
      <c r="M27" s="93">
        <f t="shared" si="12"/>
        <v>-5</v>
      </c>
      <c r="N27" s="93">
        <f t="shared" si="12"/>
        <v>-5</v>
      </c>
      <c r="T27" s="224"/>
      <c r="U27" s="224"/>
    </row>
    <row r="28" spans="2:22" hidden="1" x14ac:dyDescent="0.3">
      <c r="C28" s="127"/>
      <c r="E28" s="61"/>
      <c r="T28" s="224"/>
      <c r="U28" s="224"/>
    </row>
    <row r="29" spans="2:22" hidden="1" x14ac:dyDescent="0.3">
      <c r="B29" s="130" t="s">
        <v>343</v>
      </c>
      <c r="C29" s="131">
        <f t="shared" ref="C29:N29" si="13">C21</f>
        <v>45658</v>
      </c>
      <c r="D29" s="131">
        <f t="shared" si="13"/>
        <v>45689</v>
      </c>
      <c r="E29" s="131">
        <f t="shared" si="13"/>
        <v>45717</v>
      </c>
      <c r="F29" s="131">
        <f t="shared" si="13"/>
        <v>45748</v>
      </c>
      <c r="G29" s="131">
        <f t="shared" si="13"/>
        <v>45778</v>
      </c>
      <c r="H29" s="131">
        <f t="shared" si="13"/>
        <v>45809</v>
      </c>
      <c r="I29" s="131">
        <f t="shared" si="13"/>
        <v>45839</v>
      </c>
      <c r="J29" s="131">
        <f t="shared" si="13"/>
        <v>45870</v>
      </c>
      <c r="K29" s="131">
        <f t="shared" si="13"/>
        <v>45901</v>
      </c>
      <c r="L29" s="131">
        <f t="shared" si="13"/>
        <v>45931</v>
      </c>
      <c r="M29" s="131">
        <f t="shared" si="13"/>
        <v>45962</v>
      </c>
      <c r="N29" s="131">
        <f t="shared" si="13"/>
        <v>45992</v>
      </c>
      <c r="Q29" s="228"/>
      <c r="R29" s="206"/>
      <c r="S29" s="206"/>
      <c r="T29" s="224"/>
      <c r="U29" s="228"/>
      <c r="V29" s="202"/>
    </row>
    <row r="30" spans="2:22" hidden="1" x14ac:dyDescent="0.3">
      <c r="B30" s="58" t="s">
        <v>344</v>
      </c>
      <c r="C30" s="87">
        <v>0</v>
      </c>
      <c r="D30" s="87">
        <v>0</v>
      </c>
      <c r="E30" s="87">
        <v>0</v>
      </c>
      <c r="F30" s="87"/>
      <c r="G30" s="87">
        <v>0</v>
      </c>
      <c r="H30" s="87">
        <v>0</v>
      </c>
      <c r="I30" s="87">
        <v>0</v>
      </c>
      <c r="J30" s="87">
        <v>0</v>
      </c>
      <c r="K30" s="87">
        <v>0</v>
      </c>
      <c r="L30" s="87">
        <v>0</v>
      </c>
      <c r="M30" s="87">
        <v>0</v>
      </c>
      <c r="N30" s="87">
        <v>0</v>
      </c>
      <c r="Q30" s="229">
        <f>SUM(C30:N30)+C34</f>
        <v>0</v>
      </c>
      <c r="R30" s="185" t="s">
        <v>505</v>
      </c>
      <c r="S30" s="206"/>
      <c r="T30" s="224"/>
      <c r="U30" s="229">
        <f>SUM(G30:R30)+G34</f>
        <v>0</v>
      </c>
      <c r="V30" s="202"/>
    </row>
    <row r="31" spans="2:22" hidden="1" x14ac:dyDescent="0.3">
      <c r="B31" s="58" t="s">
        <v>345</v>
      </c>
      <c r="C31" s="87">
        <f>Balancete!O241</f>
        <v>0</v>
      </c>
      <c r="D31" s="87">
        <f>Balancete!N241</f>
        <v>0</v>
      </c>
      <c r="E31" s="87">
        <f>Balancete!M241</f>
        <v>0</v>
      </c>
      <c r="F31" s="87">
        <f>SUM(Balancete!L241)</f>
        <v>0</v>
      </c>
      <c r="G31" s="87">
        <f>SUM(Balancete!K241)</f>
        <v>0</v>
      </c>
      <c r="H31" s="87">
        <f>Balancete!J241</f>
        <v>0</v>
      </c>
      <c r="I31" s="87">
        <f>Balancete!I241</f>
        <v>0</v>
      </c>
      <c r="J31" s="87">
        <f>SUM(Balancete!H241)</f>
        <v>0</v>
      </c>
      <c r="K31" s="87">
        <f>SUM(Balancete!G241)</f>
        <v>0</v>
      </c>
      <c r="L31" s="87">
        <f>SUM(Balancete!F241)</f>
        <v>0</v>
      </c>
      <c r="M31" s="87">
        <f>Balancete!E241</f>
        <v>0</v>
      </c>
      <c r="N31" s="87">
        <v>0</v>
      </c>
      <c r="Q31" s="230">
        <f>SUM(C31:N32)</f>
        <v>0</v>
      </c>
      <c r="R31" s="185" t="s">
        <v>502</v>
      </c>
      <c r="S31" s="206"/>
      <c r="T31" s="224"/>
      <c r="U31" s="230">
        <f>SUM(G31:R32)</f>
        <v>0</v>
      </c>
      <c r="V31" s="202"/>
    </row>
    <row r="32" spans="2:22" hidden="1" x14ac:dyDescent="0.3">
      <c r="B32" s="58" t="s">
        <v>333</v>
      </c>
      <c r="C32" s="87">
        <v>0</v>
      </c>
      <c r="D32" s="87">
        <v>0</v>
      </c>
      <c r="E32" s="87">
        <v>0</v>
      </c>
      <c r="F32" s="87">
        <v>0</v>
      </c>
      <c r="G32" s="87">
        <v>0</v>
      </c>
      <c r="H32" s="87">
        <v>0</v>
      </c>
      <c r="I32" s="87">
        <v>0</v>
      </c>
      <c r="J32" s="87">
        <v>0</v>
      </c>
      <c r="K32" s="87">
        <v>0</v>
      </c>
      <c r="L32" s="87">
        <v>0</v>
      </c>
      <c r="M32" s="87">
        <v>0</v>
      </c>
      <c r="N32" s="87">
        <v>0</v>
      </c>
      <c r="Q32" s="229">
        <f>Q30-Q31</f>
        <v>0</v>
      </c>
      <c r="R32" s="207" t="str">
        <f>IF(Q32&gt;=0,"Valor lançado no Passivo - 641","Valor lançado no Ativo - 637")</f>
        <v>Valor lançado no Passivo - 641</v>
      </c>
      <c r="S32" s="206"/>
      <c r="T32" s="224"/>
      <c r="U32" s="229">
        <f>U30-U31</f>
        <v>0</v>
      </c>
      <c r="V32" s="202"/>
    </row>
    <row r="33" spans="2:22" hidden="1" x14ac:dyDescent="0.3">
      <c r="B33" s="58" t="s">
        <v>334</v>
      </c>
      <c r="C33" s="87">
        <f t="shared" ref="C33:I33" si="14">C30-C31-C32</f>
        <v>0</v>
      </c>
      <c r="D33" s="87">
        <f t="shared" si="14"/>
        <v>0</v>
      </c>
      <c r="E33" s="87">
        <f t="shared" si="14"/>
        <v>0</v>
      </c>
      <c r="F33" s="87">
        <f t="shared" si="14"/>
        <v>0</v>
      </c>
      <c r="G33" s="87">
        <f t="shared" si="14"/>
        <v>0</v>
      </c>
      <c r="H33" s="87">
        <f t="shared" si="14"/>
        <v>0</v>
      </c>
      <c r="I33" s="87">
        <f t="shared" si="14"/>
        <v>0</v>
      </c>
      <c r="J33" s="87">
        <f t="shared" ref="J33:K33" si="15">J30-J31-J32</f>
        <v>0</v>
      </c>
      <c r="K33" s="87">
        <f t="shared" si="15"/>
        <v>0</v>
      </c>
      <c r="L33" s="87">
        <f t="shared" ref="L33" si="16">L30-L31-L32</f>
        <v>0</v>
      </c>
      <c r="M33" s="87">
        <f>M30-M31-M32</f>
        <v>0</v>
      </c>
      <c r="N33" s="87">
        <f>N30-N31-N32</f>
        <v>0</v>
      </c>
      <c r="Q33" s="228"/>
      <c r="R33" s="206"/>
      <c r="S33" s="206"/>
      <c r="T33" s="224"/>
      <c r="U33" s="228"/>
      <c r="V33" s="202"/>
    </row>
    <row r="34" spans="2:22" hidden="1" x14ac:dyDescent="0.3">
      <c r="B34" s="58" t="s">
        <v>335</v>
      </c>
      <c r="C34" s="87"/>
      <c r="D34" s="87">
        <f t="shared" ref="D34:I34" si="17">C35</f>
        <v>0</v>
      </c>
      <c r="E34" s="87">
        <f t="shared" si="17"/>
        <v>0</v>
      </c>
      <c r="F34" s="87">
        <f t="shared" si="17"/>
        <v>0</v>
      </c>
      <c r="G34" s="87">
        <f t="shared" si="17"/>
        <v>0</v>
      </c>
      <c r="H34" s="87">
        <f t="shared" si="17"/>
        <v>0</v>
      </c>
      <c r="I34" s="87">
        <f t="shared" si="17"/>
        <v>0</v>
      </c>
      <c r="J34" s="87">
        <f>I35</f>
        <v>0</v>
      </c>
      <c r="K34" s="87">
        <f>J35</f>
        <v>0</v>
      </c>
      <c r="L34" s="87">
        <f>K35</f>
        <v>0</v>
      </c>
      <c r="M34" s="87">
        <f>L35</f>
        <v>0</v>
      </c>
      <c r="N34" s="87"/>
      <c r="Q34" s="228"/>
      <c r="R34" s="206"/>
      <c r="S34" s="206"/>
      <c r="T34" s="224"/>
      <c r="U34" s="228"/>
      <c r="V34" s="202"/>
    </row>
    <row r="35" spans="2:22" hidden="1" x14ac:dyDescent="0.3">
      <c r="B35" s="130" t="s">
        <v>336</v>
      </c>
      <c r="C35" s="132">
        <f t="shared" ref="C35:N35" si="18">C33+C34</f>
        <v>0</v>
      </c>
      <c r="D35" s="132">
        <f t="shared" si="18"/>
        <v>0</v>
      </c>
      <c r="E35" s="132">
        <f t="shared" si="18"/>
        <v>0</v>
      </c>
      <c r="F35" s="132">
        <f t="shared" si="18"/>
        <v>0</v>
      </c>
      <c r="G35" s="132">
        <f t="shared" si="18"/>
        <v>0</v>
      </c>
      <c r="H35" s="132">
        <f t="shared" si="18"/>
        <v>0</v>
      </c>
      <c r="I35" s="132">
        <f t="shared" si="18"/>
        <v>0</v>
      </c>
      <c r="J35" s="132">
        <f>J33+J34</f>
        <v>0</v>
      </c>
      <c r="K35" s="132">
        <f t="shared" si="18"/>
        <v>0</v>
      </c>
      <c r="L35" s="132">
        <f t="shared" si="18"/>
        <v>0</v>
      </c>
      <c r="M35" s="132">
        <f t="shared" si="18"/>
        <v>0</v>
      </c>
      <c r="N35" s="132">
        <f t="shared" si="18"/>
        <v>0</v>
      </c>
      <c r="T35" s="224"/>
      <c r="U35" s="224"/>
    </row>
    <row r="36" spans="2:22" ht="2.25" hidden="1" customHeight="1" x14ac:dyDescent="0.3">
      <c r="C36" s="127"/>
      <c r="E36" s="61"/>
      <c r="H36" s="61"/>
      <c r="L36" s="56">
        <v>78600.179999999993</v>
      </c>
      <c r="T36" s="224"/>
      <c r="U36" s="224"/>
    </row>
    <row r="37" spans="2:22" hidden="1" x14ac:dyDescent="0.3">
      <c r="B37" s="133" t="s">
        <v>346</v>
      </c>
      <c r="C37" s="134">
        <f t="shared" ref="C37:N37" si="19">C29</f>
        <v>45658</v>
      </c>
      <c r="D37" s="134">
        <f t="shared" si="19"/>
        <v>45689</v>
      </c>
      <c r="E37" s="134">
        <f t="shared" si="19"/>
        <v>45717</v>
      </c>
      <c r="F37" s="134">
        <f t="shared" si="19"/>
        <v>45748</v>
      </c>
      <c r="G37" s="134">
        <f t="shared" si="19"/>
        <v>45778</v>
      </c>
      <c r="H37" s="134">
        <f t="shared" si="19"/>
        <v>45809</v>
      </c>
      <c r="I37" s="134">
        <f t="shared" si="19"/>
        <v>45839</v>
      </c>
      <c r="J37" s="134">
        <f t="shared" si="19"/>
        <v>45870</v>
      </c>
      <c r="K37" s="134">
        <f t="shared" si="19"/>
        <v>45901</v>
      </c>
      <c r="L37" s="134">
        <f t="shared" si="19"/>
        <v>45931</v>
      </c>
      <c r="M37" s="134">
        <f t="shared" si="19"/>
        <v>45962</v>
      </c>
      <c r="N37" s="134">
        <f t="shared" si="19"/>
        <v>45992</v>
      </c>
      <c r="T37" s="224"/>
      <c r="U37" s="224"/>
    </row>
    <row r="38" spans="2:22" hidden="1" x14ac:dyDescent="0.3">
      <c r="B38" s="58" t="s">
        <v>347</v>
      </c>
      <c r="C38" s="87">
        <v>0</v>
      </c>
      <c r="D38" s="87">
        <v>0</v>
      </c>
      <c r="E38" s="87">
        <v>0</v>
      </c>
      <c r="F38" s="87">
        <v>0</v>
      </c>
      <c r="G38" s="87">
        <v>0</v>
      </c>
      <c r="H38" s="87">
        <v>0</v>
      </c>
      <c r="I38" s="87">
        <v>0</v>
      </c>
      <c r="J38" s="87">
        <v>0</v>
      </c>
      <c r="K38" s="87">
        <v>0</v>
      </c>
      <c r="L38" s="87">
        <v>0</v>
      </c>
      <c r="M38" s="87">
        <v>0</v>
      </c>
      <c r="N38" s="87">
        <v>0</v>
      </c>
      <c r="Q38" s="227">
        <f>SUM(C38:N38)+C42</f>
        <v>0</v>
      </c>
      <c r="T38" s="224"/>
      <c r="U38" s="227">
        <f>SUM(G38:R38)+G42</f>
        <v>0</v>
      </c>
    </row>
    <row r="39" spans="2:22" hidden="1" x14ac:dyDescent="0.3">
      <c r="B39" s="58" t="s">
        <v>348</v>
      </c>
      <c r="C39" s="87">
        <v>0</v>
      </c>
      <c r="D39" s="87">
        <v>0</v>
      </c>
      <c r="E39" s="87">
        <v>0</v>
      </c>
      <c r="F39" s="87">
        <v>0</v>
      </c>
      <c r="G39" s="87">
        <v>0</v>
      </c>
      <c r="H39" s="87">
        <v>0</v>
      </c>
      <c r="I39" s="87">
        <v>0</v>
      </c>
      <c r="J39" s="87">
        <v>0</v>
      </c>
      <c r="K39" s="87">
        <v>0</v>
      </c>
      <c r="L39" s="87">
        <v>0</v>
      </c>
      <c r="M39" s="87">
        <v>0</v>
      </c>
      <c r="N39" s="87">
        <v>0</v>
      </c>
      <c r="Q39" s="226">
        <f>SUM(C39:N40)</f>
        <v>0</v>
      </c>
      <c r="T39" s="224"/>
      <c r="U39" s="226">
        <f>SUM(G39:R40)</f>
        <v>0</v>
      </c>
    </row>
    <row r="40" spans="2:22" hidden="1" x14ac:dyDescent="0.3">
      <c r="B40" s="58" t="s">
        <v>333</v>
      </c>
      <c r="C40" s="87">
        <v>0</v>
      </c>
      <c r="D40" s="87">
        <v>0</v>
      </c>
      <c r="E40" s="87">
        <v>0</v>
      </c>
      <c r="F40" s="87">
        <v>0</v>
      </c>
      <c r="G40" s="87">
        <v>0</v>
      </c>
      <c r="H40" s="87">
        <v>0</v>
      </c>
      <c r="I40" s="87">
        <v>0</v>
      </c>
      <c r="J40" s="87">
        <v>0</v>
      </c>
      <c r="K40" s="87">
        <v>0</v>
      </c>
      <c r="L40" s="87">
        <v>0</v>
      </c>
      <c r="M40" s="87">
        <v>0</v>
      </c>
      <c r="N40" s="87">
        <v>0</v>
      </c>
      <c r="Q40" s="227">
        <f>Q38-Q39</f>
        <v>0</v>
      </c>
      <c r="R40" s="208"/>
      <c r="T40" s="224"/>
      <c r="U40" s="227">
        <f>U38-U39</f>
        <v>0</v>
      </c>
    </row>
    <row r="41" spans="2:22" hidden="1" x14ac:dyDescent="0.3">
      <c r="B41" s="58" t="s">
        <v>334</v>
      </c>
      <c r="C41" s="87">
        <f>C38-C39-C40</f>
        <v>0</v>
      </c>
      <c r="D41" s="87">
        <f>D38-D39-D40</f>
        <v>0</v>
      </c>
      <c r="E41" s="87">
        <f>E38-E39-E40</f>
        <v>0</v>
      </c>
      <c r="F41" s="87">
        <f>F38-F39-F40</f>
        <v>0</v>
      </c>
      <c r="G41" s="87">
        <f>G38-G39-G40</f>
        <v>0</v>
      </c>
      <c r="H41" s="87">
        <v>0</v>
      </c>
      <c r="I41" s="87">
        <v>0</v>
      </c>
      <c r="J41" s="87">
        <v>0</v>
      </c>
      <c r="K41" s="87">
        <v>0</v>
      </c>
      <c r="L41" s="87">
        <v>0</v>
      </c>
      <c r="M41" s="87">
        <v>0</v>
      </c>
      <c r="N41" s="87">
        <f>N38-N39</f>
        <v>0</v>
      </c>
      <c r="T41" s="224"/>
      <c r="U41" s="224"/>
    </row>
    <row r="42" spans="2:22" hidden="1" x14ac:dyDescent="0.3">
      <c r="B42" s="58" t="s">
        <v>335</v>
      </c>
      <c r="C42" s="87">
        <v>0</v>
      </c>
      <c r="D42" s="87">
        <f t="shared" ref="D42:N42" si="20">C43</f>
        <v>0</v>
      </c>
      <c r="E42" s="87">
        <f t="shared" si="20"/>
        <v>0</v>
      </c>
      <c r="F42" s="87">
        <f t="shared" si="20"/>
        <v>0</v>
      </c>
      <c r="G42" s="87">
        <f t="shared" si="20"/>
        <v>0</v>
      </c>
      <c r="H42" s="87">
        <f t="shared" si="20"/>
        <v>0</v>
      </c>
      <c r="I42" s="87">
        <f t="shared" si="20"/>
        <v>0</v>
      </c>
      <c r="J42" s="87">
        <f t="shared" si="20"/>
        <v>0</v>
      </c>
      <c r="K42" s="87">
        <f t="shared" si="20"/>
        <v>0</v>
      </c>
      <c r="L42" s="87">
        <f t="shared" si="20"/>
        <v>0</v>
      </c>
      <c r="M42" s="87">
        <f t="shared" si="20"/>
        <v>0</v>
      </c>
      <c r="N42" s="87">
        <f t="shared" si="20"/>
        <v>0</v>
      </c>
      <c r="T42" s="224"/>
      <c r="U42" s="224"/>
    </row>
    <row r="43" spans="2:22" hidden="1" x14ac:dyDescent="0.3">
      <c r="B43" s="133" t="s">
        <v>336</v>
      </c>
      <c r="C43" s="135">
        <f>C42</f>
        <v>0</v>
      </c>
      <c r="D43" s="135">
        <f>D42+D41</f>
        <v>0</v>
      </c>
      <c r="E43" s="135">
        <f>E42-E41</f>
        <v>0</v>
      </c>
      <c r="F43" s="135">
        <f>F42+F41</f>
        <v>0</v>
      </c>
      <c r="G43" s="135">
        <f t="shared" ref="G43:M43" si="21">G42-G41</f>
        <v>0</v>
      </c>
      <c r="H43" s="135">
        <f t="shared" si="21"/>
        <v>0</v>
      </c>
      <c r="I43" s="135">
        <f t="shared" si="21"/>
        <v>0</v>
      </c>
      <c r="J43" s="135">
        <f t="shared" si="21"/>
        <v>0</v>
      </c>
      <c r="K43" s="135">
        <f t="shared" si="21"/>
        <v>0</v>
      </c>
      <c r="L43" s="135">
        <f t="shared" si="21"/>
        <v>0</v>
      </c>
      <c r="M43" s="135">
        <f t="shared" si="21"/>
        <v>0</v>
      </c>
      <c r="N43" s="135">
        <f>N42+N41</f>
        <v>0</v>
      </c>
      <c r="T43" s="224"/>
      <c r="U43" s="224"/>
    </row>
    <row r="44" spans="2:22" hidden="1" x14ac:dyDescent="0.3">
      <c r="B44" s="136" t="s">
        <v>349</v>
      </c>
      <c r="T44" s="224"/>
      <c r="U44" s="224"/>
    </row>
    <row r="45" spans="2:22" hidden="1" x14ac:dyDescent="0.3">
      <c r="B45" s="136"/>
      <c r="T45" s="224"/>
      <c r="U45" s="224"/>
    </row>
    <row r="46" spans="2:22" hidden="1" x14ac:dyDescent="0.3">
      <c r="B46" s="137" t="s">
        <v>350</v>
      </c>
      <c r="C46" s="138">
        <f t="shared" ref="C46:N46" si="22">C37</f>
        <v>45658</v>
      </c>
      <c r="D46" s="138">
        <f t="shared" si="22"/>
        <v>45689</v>
      </c>
      <c r="E46" s="138">
        <f t="shared" si="22"/>
        <v>45717</v>
      </c>
      <c r="F46" s="138">
        <f t="shared" si="22"/>
        <v>45748</v>
      </c>
      <c r="G46" s="138">
        <f t="shared" si="22"/>
        <v>45778</v>
      </c>
      <c r="H46" s="138">
        <f t="shared" si="22"/>
        <v>45809</v>
      </c>
      <c r="I46" s="138">
        <f t="shared" si="22"/>
        <v>45839</v>
      </c>
      <c r="J46" s="138">
        <f t="shared" si="22"/>
        <v>45870</v>
      </c>
      <c r="K46" s="138">
        <f t="shared" si="22"/>
        <v>45901</v>
      </c>
      <c r="L46" s="138">
        <f t="shared" si="22"/>
        <v>45931</v>
      </c>
      <c r="M46" s="138">
        <f t="shared" si="22"/>
        <v>45962</v>
      </c>
      <c r="N46" s="138">
        <f t="shared" si="22"/>
        <v>45992</v>
      </c>
      <c r="T46" s="224"/>
      <c r="U46" s="224"/>
    </row>
    <row r="47" spans="2:22" hidden="1" x14ac:dyDescent="0.3">
      <c r="B47" s="58" t="s">
        <v>351</v>
      </c>
      <c r="C47" s="87">
        <f>Balancete!O221</f>
        <v>0</v>
      </c>
      <c r="D47" s="87">
        <v>0</v>
      </c>
      <c r="E47" s="87">
        <v>0</v>
      </c>
      <c r="F47" s="87">
        <v>0</v>
      </c>
      <c r="G47" s="87">
        <v>0</v>
      </c>
      <c r="H47" s="87">
        <v>0</v>
      </c>
      <c r="I47" s="87">
        <v>0</v>
      </c>
      <c r="J47" s="87">
        <v>0</v>
      </c>
      <c r="K47" s="87">
        <v>0</v>
      </c>
      <c r="L47" s="87">
        <v>0</v>
      </c>
      <c r="M47" s="87">
        <v>0</v>
      </c>
      <c r="N47" s="87">
        <v>0</v>
      </c>
      <c r="Q47" s="227">
        <f>SUM(C47:N47)+C51</f>
        <v>0</v>
      </c>
      <c r="T47" s="224"/>
      <c r="U47" s="227">
        <f>SUM(G47:R47)+G51</f>
        <v>0</v>
      </c>
    </row>
    <row r="48" spans="2:22" hidden="1" x14ac:dyDescent="0.3">
      <c r="B48" s="58" t="s">
        <v>352</v>
      </c>
      <c r="C48" s="87">
        <f>Balancete!O568</f>
        <v>0</v>
      </c>
      <c r="D48" s="87">
        <v>0</v>
      </c>
      <c r="E48" s="87">
        <v>0</v>
      </c>
      <c r="F48" s="87">
        <v>0</v>
      </c>
      <c r="G48" s="87">
        <v>0</v>
      </c>
      <c r="H48" s="87">
        <v>0</v>
      </c>
      <c r="I48" s="87">
        <v>0</v>
      </c>
      <c r="J48" s="87">
        <v>0</v>
      </c>
      <c r="K48" s="87">
        <v>0</v>
      </c>
      <c r="L48" s="87">
        <v>0</v>
      </c>
      <c r="M48" s="87">
        <v>0</v>
      </c>
      <c r="N48" s="87">
        <v>0</v>
      </c>
      <c r="Q48" s="226">
        <f>SUM(C48:N49)</f>
        <v>0</v>
      </c>
      <c r="T48" s="224"/>
      <c r="U48" s="226">
        <f>SUM(G48:R49)</f>
        <v>0</v>
      </c>
    </row>
    <row r="49" spans="2:27" hidden="1" x14ac:dyDescent="0.3">
      <c r="B49" s="58" t="s">
        <v>333</v>
      </c>
      <c r="C49" s="87">
        <v>0</v>
      </c>
      <c r="D49" s="87">
        <v>0</v>
      </c>
      <c r="E49" s="87">
        <v>0</v>
      </c>
      <c r="F49" s="87">
        <v>0</v>
      </c>
      <c r="G49" s="87">
        <v>0</v>
      </c>
      <c r="H49" s="87">
        <v>0</v>
      </c>
      <c r="I49" s="87">
        <v>0</v>
      </c>
      <c r="J49" s="87">
        <v>0</v>
      </c>
      <c r="K49" s="87">
        <v>0</v>
      </c>
      <c r="L49" s="87">
        <v>0</v>
      </c>
      <c r="M49" s="87">
        <v>0</v>
      </c>
      <c r="N49" s="87">
        <v>0</v>
      </c>
      <c r="Q49" s="227">
        <f>Q47-Q48</f>
        <v>0</v>
      </c>
      <c r="R49" s="208" t="str">
        <f>IF(Q49&gt;=0,"Valor lançado no Passivo - 643","Valor lançado na Despesa - 621")</f>
        <v>Valor lançado no Passivo - 643</v>
      </c>
      <c r="T49" s="224"/>
      <c r="U49" s="227">
        <f>U47-U48</f>
        <v>0</v>
      </c>
      <c r="Z49" s="200"/>
    </row>
    <row r="50" spans="2:27" hidden="1" x14ac:dyDescent="0.3">
      <c r="B50" s="58" t="s">
        <v>334</v>
      </c>
      <c r="C50" s="87">
        <f t="shared" ref="C50:H50" si="23">C47-C48-C49</f>
        <v>0</v>
      </c>
      <c r="D50" s="87">
        <f t="shared" si="23"/>
        <v>0</v>
      </c>
      <c r="E50" s="87">
        <f t="shared" si="23"/>
        <v>0</v>
      </c>
      <c r="F50" s="87">
        <f t="shared" si="23"/>
        <v>0</v>
      </c>
      <c r="G50" s="87">
        <f t="shared" si="23"/>
        <v>0</v>
      </c>
      <c r="H50" s="87">
        <f t="shared" si="23"/>
        <v>0</v>
      </c>
      <c r="I50" s="87">
        <v>0</v>
      </c>
      <c r="J50" s="87">
        <v>0</v>
      </c>
      <c r="K50" s="87">
        <v>0</v>
      </c>
      <c r="L50" s="87">
        <v>0</v>
      </c>
      <c r="M50" s="87">
        <v>0</v>
      </c>
      <c r="N50" s="87">
        <v>0</v>
      </c>
      <c r="T50" s="224"/>
      <c r="U50" s="224"/>
    </row>
    <row r="51" spans="2:27" hidden="1" x14ac:dyDescent="0.3">
      <c r="B51" s="58" t="s">
        <v>335</v>
      </c>
      <c r="C51" s="87">
        <v>0</v>
      </c>
      <c r="D51" s="87">
        <f>C52</f>
        <v>0</v>
      </c>
      <c r="E51" s="87">
        <f>D52</f>
        <v>0</v>
      </c>
      <c r="F51" s="87">
        <f>E52</f>
        <v>0</v>
      </c>
      <c r="G51" s="87">
        <f>F52</f>
        <v>0</v>
      </c>
      <c r="H51" s="87">
        <v>0</v>
      </c>
      <c r="I51" s="87">
        <v>0</v>
      </c>
      <c r="J51" s="87">
        <v>0</v>
      </c>
      <c r="K51" s="87">
        <v>0</v>
      </c>
      <c r="L51" s="87">
        <v>0</v>
      </c>
      <c r="M51" s="87">
        <v>0</v>
      </c>
      <c r="N51" s="87">
        <v>0</v>
      </c>
      <c r="T51" s="224"/>
      <c r="U51" s="224"/>
    </row>
    <row r="52" spans="2:27" hidden="1" x14ac:dyDescent="0.3">
      <c r="B52" s="137" t="s">
        <v>336</v>
      </c>
      <c r="C52" s="139">
        <f>C51</f>
        <v>0</v>
      </c>
      <c r="D52" s="139">
        <f>D51-D50</f>
        <v>0</v>
      </c>
      <c r="E52" s="139">
        <f>E51-E50</f>
        <v>0</v>
      </c>
      <c r="F52" s="139">
        <f>F51-F50</f>
        <v>0</v>
      </c>
      <c r="G52" s="139">
        <f>G51+G50</f>
        <v>0</v>
      </c>
      <c r="H52" s="139">
        <f t="shared" ref="H52:N52" si="24">H51-H50</f>
        <v>0</v>
      </c>
      <c r="I52" s="139">
        <f t="shared" si="24"/>
        <v>0</v>
      </c>
      <c r="J52" s="139">
        <f t="shared" si="24"/>
        <v>0</v>
      </c>
      <c r="K52" s="139">
        <f t="shared" si="24"/>
        <v>0</v>
      </c>
      <c r="L52" s="139">
        <f t="shared" si="24"/>
        <v>0</v>
      </c>
      <c r="M52" s="139">
        <f t="shared" si="24"/>
        <v>0</v>
      </c>
      <c r="N52" s="139">
        <f t="shared" si="24"/>
        <v>0</v>
      </c>
      <c r="T52" s="224"/>
      <c r="U52" s="224"/>
    </row>
    <row r="53" spans="2:27" hidden="1" x14ac:dyDescent="0.3">
      <c r="B53" s="136" t="s">
        <v>353</v>
      </c>
      <c r="T53" s="224"/>
      <c r="U53" s="224"/>
    </row>
    <row r="54" spans="2:27" hidden="1" x14ac:dyDescent="0.3">
      <c r="T54" s="224"/>
      <c r="U54" s="224"/>
    </row>
    <row r="55" spans="2:27" x14ac:dyDescent="0.3">
      <c r="B55" s="147" t="s">
        <v>354</v>
      </c>
      <c r="C55" s="148">
        <f t="shared" ref="C55:N55" si="25">C46</f>
        <v>45658</v>
      </c>
      <c r="D55" s="148">
        <f t="shared" si="25"/>
        <v>45689</v>
      </c>
      <c r="E55" s="148">
        <f t="shared" si="25"/>
        <v>45717</v>
      </c>
      <c r="F55" s="148">
        <f t="shared" si="25"/>
        <v>45748</v>
      </c>
      <c r="G55" s="148">
        <f t="shared" si="25"/>
        <v>45778</v>
      </c>
      <c r="H55" s="148">
        <f t="shared" si="25"/>
        <v>45809</v>
      </c>
      <c r="I55" s="148">
        <f t="shared" si="25"/>
        <v>45839</v>
      </c>
      <c r="J55" s="148">
        <f t="shared" si="25"/>
        <v>45870</v>
      </c>
      <c r="K55" s="148">
        <f t="shared" si="25"/>
        <v>45901</v>
      </c>
      <c r="L55" s="148">
        <f t="shared" si="25"/>
        <v>45931</v>
      </c>
      <c r="M55" s="148">
        <f t="shared" si="25"/>
        <v>45962</v>
      </c>
      <c r="N55" s="148">
        <f t="shared" si="25"/>
        <v>45992</v>
      </c>
      <c r="T55" s="224"/>
      <c r="U55" s="224"/>
      <c r="V55" s="224"/>
    </row>
    <row r="56" spans="2:27" x14ac:dyDescent="0.3">
      <c r="B56" s="145" t="s">
        <v>355</v>
      </c>
      <c r="C56" s="146">
        <v>0</v>
      </c>
      <c r="D56" s="146">
        <v>0</v>
      </c>
      <c r="E56" s="146">
        <v>0</v>
      </c>
      <c r="F56" s="146">
        <v>0</v>
      </c>
      <c r="G56" s="146">
        <v>0</v>
      </c>
      <c r="H56" s="146">
        <v>0</v>
      </c>
      <c r="I56" s="146">
        <v>0</v>
      </c>
      <c r="J56" s="146">
        <v>0</v>
      </c>
      <c r="K56" s="146">
        <v>0</v>
      </c>
      <c r="L56" s="146">
        <v>0</v>
      </c>
      <c r="M56" s="146">
        <v>0</v>
      </c>
      <c r="N56" s="146">
        <v>0</v>
      </c>
      <c r="P56" s="224" t="s">
        <v>425</v>
      </c>
      <c r="Q56" s="227">
        <f>SUM((C56:D56),C60)</f>
        <v>0</v>
      </c>
      <c r="R56" s="185" t="s">
        <v>549</v>
      </c>
      <c r="U56" s="224"/>
      <c r="V56" s="224"/>
      <c r="W56" s="227"/>
    </row>
    <row r="57" spans="2:27" x14ac:dyDescent="0.3">
      <c r="B57" s="145" t="s">
        <v>356</v>
      </c>
      <c r="C57" s="146">
        <f>SUM(Balancete!O261)</f>
        <v>0</v>
      </c>
      <c r="D57" s="146">
        <f>SUM(Balancete!N261)</f>
        <v>0</v>
      </c>
      <c r="E57" s="146">
        <v>0</v>
      </c>
      <c r="F57" s="146">
        <v>0</v>
      </c>
      <c r="G57" s="146">
        <v>0</v>
      </c>
      <c r="H57" s="146">
        <f>SUM(Balancete!J261)</f>
        <v>0</v>
      </c>
      <c r="I57" s="146">
        <f>SUM(Balancete!I261)</f>
        <v>0</v>
      </c>
      <c r="J57" s="146">
        <f>SUM(Balancete!H261)</f>
        <v>0</v>
      </c>
      <c r="K57" s="146">
        <f>SUM(Balancete!G261)</f>
        <v>0</v>
      </c>
      <c r="L57" s="146">
        <f>SUM(Balancete!F261)</f>
        <v>0</v>
      </c>
      <c r="M57" s="146">
        <f>SUM(Balancete!E261)</f>
        <v>0</v>
      </c>
      <c r="N57" s="146">
        <f>SUM(Balancete!D261)</f>
        <v>0</v>
      </c>
      <c r="P57" s="224" t="s">
        <v>426</v>
      </c>
      <c r="Q57" s="226">
        <f>SUM(C57:D58)</f>
        <v>0</v>
      </c>
      <c r="R57" s="185" t="s">
        <v>502</v>
      </c>
      <c r="T57" s="204"/>
      <c r="U57" s="224"/>
      <c r="V57" s="224"/>
      <c r="W57" s="226"/>
      <c r="Z57" s="204"/>
    </row>
    <row r="58" spans="2:27" ht="15.75" customHeight="1" x14ac:dyDescent="0.3">
      <c r="B58" s="151" t="s">
        <v>333</v>
      </c>
      <c r="C58" s="152">
        <v>0</v>
      </c>
      <c r="D58" s="152">
        <v>0</v>
      </c>
      <c r="E58" s="152">
        <v>0</v>
      </c>
      <c r="F58" s="152">
        <v>0</v>
      </c>
      <c r="G58" s="152">
        <v>0</v>
      </c>
      <c r="H58" s="152">
        <v>0</v>
      </c>
      <c r="I58" s="152">
        <v>0</v>
      </c>
      <c r="J58" s="152">
        <v>0</v>
      </c>
      <c r="K58" s="152">
        <v>0</v>
      </c>
      <c r="L58" s="152">
        <v>0</v>
      </c>
      <c r="M58" s="152">
        <v>0</v>
      </c>
      <c r="N58" s="152">
        <v>0</v>
      </c>
      <c r="P58" s="224" t="s">
        <v>605</v>
      </c>
      <c r="Q58" s="227">
        <f>Q56-Q57</f>
        <v>0</v>
      </c>
      <c r="R58" s="207" t="str">
        <f>IF(Q58&gt;=0,"Valor lançado no Passivo - 644","Valor lançado no Ativo - 0")</f>
        <v>Valor lançado no Passivo - 644</v>
      </c>
      <c r="U58" s="224"/>
      <c r="V58" s="224"/>
      <c r="W58" s="227"/>
      <c r="X58" s="207"/>
      <c r="AA58" s="56"/>
    </row>
    <row r="59" spans="2:27" x14ac:dyDescent="0.3">
      <c r="B59" s="149" t="s">
        <v>334</v>
      </c>
      <c r="C59" s="150">
        <f>C56-C57</f>
        <v>0</v>
      </c>
      <c r="D59" s="150">
        <f t="shared" ref="D59:N59" si="26">D56-D57-D58</f>
        <v>0</v>
      </c>
      <c r="E59" s="150">
        <f t="shared" si="26"/>
        <v>0</v>
      </c>
      <c r="F59" s="150">
        <f t="shared" si="26"/>
        <v>0</v>
      </c>
      <c r="G59" s="150">
        <f t="shared" si="26"/>
        <v>0</v>
      </c>
      <c r="H59" s="150">
        <f>H56-H57-H58</f>
        <v>0</v>
      </c>
      <c r="I59" s="150">
        <f t="shared" si="26"/>
        <v>0</v>
      </c>
      <c r="J59" s="150">
        <f t="shared" si="26"/>
        <v>0</v>
      </c>
      <c r="K59" s="150">
        <f>K56-K57-K58</f>
        <v>0</v>
      </c>
      <c r="L59" s="150">
        <f t="shared" si="26"/>
        <v>0</v>
      </c>
      <c r="M59" s="150">
        <f t="shared" si="26"/>
        <v>0</v>
      </c>
      <c r="N59" s="150">
        <f t="shared" si="26"/>
        <v>0</v>
      </c>
      <c r="P59" s="381"/>
      <c r="Q59" s="381"/>
      <c r="R59" s="381"/>
      <c r="S59" s="381"/>
      <c r="T59" s="381"/>
      <c r="U59" s="381"/>
      <c r="AA59" s="56"/>
    </row>
    <row r="60" spans="2:27" ht="15.6" customHeight="1" x14ac:dyDescent="0.3">
      <c r="B60" s="58" t="s">
        <v>335</v>
      </c>
      <c r="C60" s="87">
        <v>0</v>
      </c>
      <c r="D60" s="87">
        <f>C61</f>
        <v>0</v>
      </c>
      <c r="E60" s="87">
        <v>0</v>
      </c>
      <c r="F60" s="87">
        <v>0</v>
      </c>
      <c r="G60" s="87">
        <v>0</v>
      </c>
      <c r="H60" s="87">
        <v>0</v>
      </c>
      <c r="I60" s="87">
        <f t="shared" ref="I60:N60" si="27">H61</f>
        <v>0</v>
      </c>
      <c r="J60" s="87">
        <f t="shared" si="27"/>
        <v>0</v>
      </c>
      <c r="K60" s="87">
        <f t="shared" si="27"/>
        <v>0</v>
      </c>
      <c r="L60" s="87">
        <f t="shared" si="27"/>
        <v>0</v>
      </c>
      <c r="M60" s="87">
        <f t="shared" si="27"/>
        <v>0</v>
      </c>
      <c r="N60" s="87">
        <f t="shared" si="27"/>
        <v>0</v>
      </c>
      <c r="P60" s="381"/>
      <c r="Q60" s="381"/>
      <c r="R60" s="381"/>
      <c r="S60" s="381"/>
      <c r="T60" s="381"/>
      <c r="U60" s="381"/>
      <c r="W60" s="227"/>
      <c r="X60" s="208"/>
      <c r="AA60" s="56"/>
    </row>
    <row r="61" spans="2:27" x14ac:dyDescent="0.3">
      <c r="B61" s="140" t="s">
        <v>336</v>
      </c>
      <c r="C61" s="141">
        <f>C60+C59</f>
        <v>0</v>
      </c>
      <c r="D61" s="141">
        <f>D59+D60</f>
        <v>0</v>
      </c>
      <c r="E61" s="141">
        <f>E59+E60</f>
        <v>0</v>
      </c>
      <c r="F61" s="141">
        <f t="shared" ref="F61:K61" si="28">F60+F59</f>
        <v>0</v>
      </c>
      <c r="G61" s="141">
        <f t="shared" si="28"/>
        <v>0</v>
      </c>
      <c r="H61" s="141">
        <f>H60+H59</f>
        <v>0</v>
      </c>
      <c r="I61" s="141">
        <f t="shared" si="28"/>
        <v>0</v>
      </c>
      <c r="J61" s="141">
        <f t="shared" si="28"/>
        <v>0</v>
      </c>
      <c r="K61" s="141">
        <f t="shared" si="28"/>
        <v>0</v>
      </c>
      <c r="L61" s="141">
        <f>L60+L59</f>
        <v>0</v>
      </c>
      <c r="M61" s="141">
        <f>M60+M59</f>
        <v>0</v>
      </c>
      <c r="N61" s="141">
        <f>N60+N59</f>
        <v>0</v>
      </c>
      <c r="P61" s="381"/>
      <c r="Q61" s="381"/>
      <c r="R61" s="381"/>
      <c r="S61" s="381"/>
      <c r="T61" s="381"/>
      <c r="U61" s="381"/>
      <c r="W61" s="185"/>
      <c r="AA61" s="56"/>
    </row>
    <row r="62" spans="2:27" x14ac:dyDescent="0.3">
      <c r="B62" s="136"/>
      <c r="D62" s="278"/>
      <c r="T62" s="224"/>
      <c r="U62" s="224"/>
    </row>
    <row r="63" spans="2:27" x14ac:dyDescent="0.3">
      <c r="B63" s="159" t="s">
        <v>357</v>
      </c>
      <c r="C63" s="160">
        <f t="shared" ref="C63:N63" si="29">C55</f>
        <v>45658</v>
      </c>
      <c r="D63" s="160">
        <f t="shared" si="29"/>
        <v>45689</v>
      </c>
      <c r="E63" s="160">
        <f t="shared" si="29"/>
        <v>45717</v>
      </c>
      <c r="F63" s="160">
        <f t="shared" si="29"/>
        <v>45748</v>
      </c>
      <c r="G63" s="160">
        <f t="shared" si="29"/>
        <v>45778</v>
      </c>
      <c r="H63" s="160">
        <f t="shared" si="29"/>
        <v>45809</v>
      </c>
      <c r="I63" s="160">
        <f t="shared" si="29"/>
        <v>45839</v>
      </c>
      <c r="J63" s="160">
        <f t="shared" si="29"/>
        <v>45870</v>
      </c>
      <c r="K63" s="160">
        <f t="shared" si="29"/>
        <v>45901</v>
      </c>
      <c r="L63" s="160">
        <f t="shared" si="29"/>
        <v>45931</v>
      </c>
      <c r="M63" s="160">
        <f t="shared" si="29"/>
        <v>45962</v>
      </c>
      <c r="N63" s="160">
        <f t="shared" si="29"/>
        <v>45992</v>
      </c>
    </row>
    <row r="64" spans="2:27" x14ac:dyDescent="0.3">
      <c r="B64" s="145" t="s">
        <v>358</v>
      </c>
      <c r="C64" s="146">
        <v>0</v>
      </c>
      <c r="D64" s="146">
        <v>0</v>
      </c>
      <c r="E64" s="146">
        <v>0</v>
      </c>
      <c r="F64" s="146">
        <v>0</v>
      </c>
      <c r="G64" s="146">
        <v>0</v>
      </c>
      <c r="H64" s="146">
        <v>0</v>
      </c>
      <c r="I64" s="146">
        <v>0</v>
      </c>
      <c r="J64" s="146">
        <v>0</v>
      </c>
      <c r="K64" s="146">
        <v>0</v>
      </c>
      <c r="L64" s="146">
        <v>0</v>
      </c>
      <c r="M64" s="146">
        <v>0</v>
      </c>
      <c r="N64" s="146">
        <v>0</v>
      </c>
      <c r="P64" s="224" t="s">
        <v>425</v>
      </c>
      <c r="Q64" s="227">
        <f>SUM(C64:N64)+C68</f>
        <v>5882.4</v>
      </c>
      <c r="R64" s="185" t="s">
        <v>614</v>
      </c>
    </row>
    <row r="65" spans="2:18" x14ac:dyDescent="0.3">
      <c r="B65" s="145" t="s">
        <v>359</v>
      </c>
      <c r="C65" s="146">
        <v>0</v>
      </c>
      <c r="D65" s="146">
        <v>0</v>
      </c>
      <c r="E65" s="146">
        <v>0</v>
      </c>
      <c r="F65" s="146">
        <v>0</v>
      </c>
      <c r="G65" s="146">
        <v>0</v>
      </c>
      <c r="H65" s="146">
        <v>0</v>
      </c>
      <c r="I65" s="146">
        <v>0</v>
      </c>
      <c r="J65" s="146">
        <v>0</v>
      </c>
      <c r="K65" s="146">
        <v>0</v>
      </c>
      <c r="L65" s="146">
        <v>0</v>
      </c>
      <c r="M65" s="146">
        <v>0</v>
      </c>
      <c r="N65" s="146">
        <v>0</v>
      </c>
      <c r="P65" s="224" t="s">
        <v>426</v>
      </c>
      <c r="Q65" s="227">
        <f>SUM(C65:N66)</f>
        <v>0</v>
      </c>
      <c r="R65" s="185" t="s">
        <v>502</v>
      </c>
    </row>
    <row r="66" spans="2:18" x14ac:dyDescent="0.3">
      <c r="B66" s="151" t="s">
        <v>333</v>
      </c>
      <c r="C66" s="152">
        <v>0</v>
      </c>
      <c r="D66" s="152">
        <v>0</v>
      </c>
      <c r="E66" s="152">
        <v>0</v>
      </c>
      <c r="F66" s="152">
        <v>0</v>
      </c>
      <c r="G66" s="152">
        <v>0</v>
      </c>
      <c r="H66" s="152">
        <v>0</v>
      </c>
      <c r="I66" s="146">
        <v>0</v>
      </c>
      <c r="J66" s="146">
        <v>0</v>
      </c>
      <c r="K66" s="146">
        <v>0</v>
      </c>
      <c r="L66" s="146">
        <v>0</v>
      </c>
      <c r="M66" s="146">
        <v>0</v>
      </c>
      <c r="N66" s="146">
        <v>0</v>
      </c>
      <c r="P66" s="224" t="s">
        <v>605</v>
      </c>
      <c r="Q66" s="227">
        <f>Q64-Q65</f>
        <v>5882.4</v>
      </c>
      <c r="R66" s="208" t="str">
        <f>IF(Q66&gt;=0,"Valor lançado no Passivo - 661","Valor lançado no Ativo - 383")</f>
        <v>Valor lançado no Passivo - 661</v>
      </c>
    </row>
    <row r="67" spans="2:18" x14ac:dyDescent="0.3">
      <c r="B67" s="149" t="s">
        <v>334</v>
      </c>
      <c r="C67" s="150">
        <f t="shared" ref="C67:H67" si="30">C64-C65-C66</f>
        <v>0</v>
      </c>
      <c r="D67" s="150">
        <f t="shared" si="30"/>
        <v>0</v>
      </c>
      <c r="E67" s="150">
        <f t="shared" si="30"/>
        <v>0</v>
      </c>
      <c r="F67" s="150">
        <f t="shared" si="30"/>
        <v>0</v>
      </c>
      <c r="G67" s="150">
        <f t="shared" si="30"/>
        <v>0</v>
      </c>
      <c r="H67" s="150">
        <f t="shared" si="30"/>
        <v>0</v>
      </c>
      <c r="I67" s="150">
        <v>0</v>
      </c>
      <c r="J67" s="150">
        <f>J64-J65-J66</f>
        <v>0</v>
      </c>
      <c r="K67" s="150">
        <f>K65-K64</f>
        <v>0</v>
      </c>
      <c r="L67" s="150">
        <f>L65-L64</f>
        <v>0</v>
      </c>
      <c r="M67" s="150">
        <f>M65-M64</f>
        <v>0</v>
      </c>
      <c r="N67" s="150">
        <f>N65+N64</f>
        <v>0</v>
      </c>
    </row>
    <row r="68" spans="2:18" x14ac:dyDescent="0.3">
      <c r="B68" s="58" t="s">
        <v>335</v>
      </c>
      <c r="C68" s="87">
        <v>5882.4</v>
      </c>
      <c r="D68" s="87">
        <v>5882.4</v>
      </c>
      <c r="E68" s="87">
        <v>5882.4</v>
      </c>
      <c r="F68" s="87">
        <v>0</v>
      </c>
      <c r="G68" s="87">
        <v>0</v>
      </c>
      <c r="H68" s="87">
        <v>0</v>
      </c>
      <c r="I68" s="87">
        <v>0</v>
      </c>
      <c r="J68" s="87">
        <v>0</v>
      </c>
      <c r="K68" s="87">
        <v>0</v>
      </c>
      <c r="L68" s="87">
        <v>0</v>
      </c>
      <c r="M68" s="87">
        <v>0</v>
      </c>
      <c r="N68" s="87">
        <v>0</v>
      </c>
    </row>
    <row r="69" spans="2:18" x14ac:dyDescent="0.3">
      <c r="B69" s="161" t="s">
        <v>336</v>
      </c>
      <c r="C69" s="162">
        <f>C68</f>
        <v>5882.4</v>
      </c>
      <c r="D69" s="162">
        <f t="shared" ref="D69:M69" si="31">D68-D67</f>
        <v>5882.4</v>
      </c>
      <c r="E69" s="162">
        <f t="shared" si="31"/>
        <v>5882.4</v>
      </c>
      <c r="F69" s="162">
        <f t="shared" si="31"/>
        <v>0</v>
      </c>
      <c r="G69" s="162">
        <f>G68+G67</f>
        <v>0</v>
      </c>
      <c r="H69" s="162">
        <f t="shared" si="31"/>
        <v>0</v>
      </c>
      <c r="I69" s="162">
        <f t="shared" si="31"/>
        <v>0</v>
      </c>
      <c r="J69" s="162">
        <f t="shared" si="31"/>
        <v>0</v>
      </c>
      <c r="K69" s="162">
        <f t="shared" si="31"/>
        <v>0</v>
      </c>
      <c r="L69" s="162">
        <f t="shared" si="31"/>
        <v>0</v>
      </c>
      <c r="M69" s="162">
        <f t="shared" si="31"/>
        <v>0</v>
      </c>
      <c r="N69" s="162">
        <f>N68+N67</f>
        <v>0</v>
      </c>
    </row>
    <row r="70" spans="2:18" x14ac:dyDescent="0.3">
      <c r="B70" s="136"/>
    </row>
    <row r="71" spans="2:18" ht="15.6" hidden="1" customHeight="1" thickBot="1" x14ac:dyDescent="0.35">
      <c r="B71" s="117" t="s">
        <v>564</v>
      </c>
      <c r="C71" s="382" t="s">
        <v>360</v>
      </c>
      <c r="D71" s="383"/>
      <c r="E71" s="384"/>
      <c r="G71" s="382" t="s">
        <v>361</v>
      </c>
      <c r="H71" s="383"/>
      <c r="I71" s="384"/>
      <c r="K71" s="382" t="s">
        <v>365</v>
      </c>
      <c r="L71" s="383"/>
      <c r="M71" s="384"/>
    </row>
    <row r="72" spans="2:18" hidden="1" x14ac:dyDescent="0.3">
      <c r="C72" s="186"/>
      <c r="D72" s="187">
        <v>1939043.66</v>
      </c>
      <c r="E72" s="188">
        <v>1757300.55</v>
      </c>
      <c r="G72" s="118"/>
      <c r="H72" s="114">
        <v>260042.8</v>
      </c>
      <c r="I72" s="119">
        <v>520138.82</v>
      </c>
      <c r="K72" s="118"/>
      <c r="L72" s="114">
        <v>83372.3</v>
      </c>
      <c r="M72" s="119">
        <v>83372.3</v>
      </c>
    </row>
    <row r="73" spans="2:18" hidden="1" x14ac:dyDescent="0.3">
      <c r="C73" s="120" t="s">
        <v>362</v>
      </c>
      <c r="D73" s="115">
        <v>359</v>
      </c>
      <c r="E73" s="121">
        <v>176</v>
      </c>
      <c r="G73" s="120" t="s">
        <v>362</v>
      </c>
      <c r="H73" s="115">
        <v>522</v>
      </c>
      <c r="I73" s="121">
        <v>490</v>
      </c>
      <c r="K73" s="120" t="s">
        <v>362</v>
      </c>
      <c r="L73" s="115">
        <v>661</v>
      </c>
      <c r="M73" s="121">
        <v>660</v>
      </c>
    </row>
    <row r="74" spans="2:18" ht="16.2" hidden="1" thickBot="1" x14ac:dyDescent="0.35">
      <c r="C74" s="122" t="s">
        <v>363</v>
      </c>
      <c r="D74" s="116">
        <v>176</v>
      </c>
      <c r="E74" s="123">
        <v>359</v>
      </c>
      <c r="G74" s="122" t="s">
        <v>363</v>
      </c>
      <c r="H74" s="116">
        <v>490</v>
      </c>
      <c r="I74" s="123">
        <v>522</v>
      </c>
      <c r="K74" s="122" t="s">
        <v>363</v>
      </c>
      <c r="L74" s="116">
        <v>660</v>
      </c>
      <c r="M74" s="123">
        <v>661</v>
      </c>
    </row>
    <row r="75" spans="2:18" ht="16.2" hidden="1" thickBot="1" x14ac:dyDescent="0.35"/>
    <row r="76" spans="2:18" ht="16.2" hidden="1" thickBot="1" x14ac:dyDescent="0.35">
      <c r="C76" s="382" t="s">
        <v>508</v>
      </c>
      <c r="D76" s="383"/>
      <c r="E76" s="384"/>
      <c r="G76" s="382" t="s">
        <v>364</v>
      </c>
      <c r="H76" s="383"/>
      <c r="I76" s="384"/>
    </row>
    <row r="77" spans="2:18" hidden="1" x14ac:dyDescent="0.3">
      <c r="C77" s="118"/>
      <c r="D77" s="114">
        <v>3415.49</v>
      </c>
      <c r="E77" s="119">
        <v>-276.51</v>
      </c>
      <c r="G77" s="118"/>
      <c r="H77" s="114">
        <v>82660.97</v>
      </c>
      <c r="I77" s="267">
        <v>54882.53</v>
      </c>
    </row>
    <row r="78" spans="2:18" hidden="1" x14ac:dyDescent="0.3">
      <c r="C78" s="120" t="s">
        <v>362</v>
      </c>
      <c r="D78" s="115">
        <v>641</v>
      </c>
      <c r="E78" s="121">
        <v>145</v>
      </c>
      <c r="G78" s="120" t="s">
        <v>362</v>
      </c>
      <c r="H78" s="115">
        <v>644</v>
      </c>
      <c r="I78" s="121">
        <v>630</v>
      </c>
    </row>
    <row r="79" spans="2:18" ht="16.2" hidden="1" thickBot="1" x14ac:dyDescent="0.35">
      <c r="C79" s="122" t="s">
        <v>363</v>
      </c>
      <c r="D79" s="116">
        <v>175</v>
      </c>
      <c r="E79" s="123">
        <v>202</v>
      </c>
      <c r="G79" s="122" t="s">
        <v>363</v>
      </c>
      <c r="H79" s="116">
        <v>630</v>
      </c>
      <c r="I79" s="123">
        <v>644</v>
      </c>
    </row>
    <row r="80" spans="2:18" x14ac:dyDescent="0.3">
      <c r="C80" s="247"/>
      <c r="D80" s="115"/>
      <c r="E80" s="115"/>
      <c r="G80" s="247"/>
      <c r="H80" s="115"/>
      <c r="I80" s="115"/>
    </row>
    <row r="81" spans="2:13" ht="16.2" thickBot="1" x14ac:dyDescent="0.35"/>
    <row r="82" spans="2:13" ht="15.6" customHeight="1" thickBot="1" x14ac:dyDescent="0.35">
      <c r="B82" s="117" t="s">
        <v>698</v>
      </c>
      <c r="C82" s="385" t="s">
        <v>360</v>
      </c>
      <c r="D82" s="386"/>
      <c r="E82" s="387"/>
      <c r="G82" s="382" t="s">
        <v>361</v>
      </c>
      <c r="H82" s="383"/>
      <c r="I82" s="384"/>
      <c r="K82" s="382" t="s">
        <v>365</v>
      </c>
      <c r="L82" s="383"/>
      <c r="M82" s="384"/>
    </row>
    <row r="83" spans="2:13" x14ac:dyDescent="0.3">
      <c r="C83" s="186"/>
      <c r="D83" s="187">
        <v>2075716.61</v>
      </c>
      <c r="E83" s="188">
        <v>1277499.07</v>
      </c>
      <c r="G83" s="118"/>
      <c r="H83" s="114">
        <v>772994.17</v>
      </c>
      <c r="I83" s="119">
        <v>25308.400000000001</v>
      </c>
      <c r="K83" s="118"/>
      <c r="L83" s="114">
        <v>5882.4</v>
      </c>
      <c r="M83" s="119">
        <v>5882.4</v>
      </c>
    </row>
    <row r="84" spans="2:13" x14ac:dyDescent="0.3">
      <c r="C84" s="120" t="s">
        <v>362</v>
      </c>
      <c r="D84" s="115">
        <v>359</v>
      </c>
      <c r="E84" s="121">
        <v>176</v>
      </c>
      <c r="G84" s="120" t="s">
        <v>362</v>
      </c>
      <c r="H84" s="115">
        <v>522</v>
      </c>
      <c r="I84" s="121">
        <v>490</v>
      </c>
      <c r="K84" s="120" t="s">
        <v>362</v>
      </c>
      <c r="L84" s="115">
        <v>661</v>
      </c>
      <c r="M84" s="121">
        <v>660</v>
      </c>
    </row>
    <row r="85" spans="2:13" ht="16.2" thickBot="1" x14ac:dyDescent="0.35">
      <c r="C85" s="122" t="s">
        <v>363</v>
      </c>
      <c r="D85" s="116">
        <v>176</v>
      </c>
      <c r="E85" s="123">
        <v>359</v>
      </c>
      <c r="G85" s="122" t="s">
        <v>363</v>
      </c>
      <c r="H85" s="116">
        <v>490</v>
      </c>
      <c r="I85" s="123">
        <v>522</v>
      </c>
      <c r="K85" s="122" t="s">
        <v>363</v>
      </c>
      <c r="L85" s="116">
        <v>660</v>
      </c>
      <c r="M85" s="123">
        <v>661</v>
      </c>
    </row>
    <row r="87" spans="2:13" ht="16.2" thickBot="1" x14ac:dyDescent="0.35"/>
    <row r="88" spans="2:13" ht="16.2" thickBot="1" x14ac:dyDescent="0.35">
      <c r="C88" s="382" t="s">
        <v>364</v>
      </c>
      <c r="D88" s="383"/>
      <c r="E88" s="384"/>
    </row>
    <row r="89" spans="2:13" x14ac:dyDescent="0.3">
      <c r="C89" s="118"/>
      <c r="D89" s="61">
        <v>40748.730000000003</v>
      </c>
      <c r="E89" s="295">
        <v>0</v>
      </c>
    </row>
    <row r="90" spans="2:13" x14ac:dyDescent="0.3">
      <c r="C90" s="120" t="s">
        <v>362</v>
      </c>
      <c r="D90" s="115">
        <v>644</v>
      </c>
      <c r="E90" s="121">
        <v>630</v>
      </c>
    </row>
    <row r="91" spans="2:13" ht="16.2" thickBot="1" x14ac:dyDescent="0.35">
      <c r="C91" s="122" t="s">
        <v>363</v>
      </c>
      <c r="D91" s="116">
        <v>630</v>
      </c>
      <c r="E91" s="123">
        <v>644</v>
      </c>
    </row>
    <row r="92" spans="2:13" x14ac:dyDescent="0.3">
      <c r="B92" s="136"/>
    </row>
    <row r="93" spans="2:13" ht="15.6" hidden="1" customHeight="1" x14ac:dyDescent="0.3">
      <c r="B93" s="117" t="s">
        <v>564</v>
      </c>
      <c r="C93" s="382" t="s">
        <v>360</v>
      </c>
      <c r="D93" s="383"/>
      <c r="E93" s="384"/>
      <c r="G93" s="382" t="s">
        <v>361</v>
      </c>
      <c r="H93" s="383"/>
      <c r="I93" s="384"/>
      <c r="K93" s="382" t="s">
        <v>365</v>
      </c>
      <c r="L93" s="383"/>
      <c r="M93" s="384"/>
    </row>
    <row r="94" spans="2:13" hidden="1" x14ac:dyDescent="0.3">
      <c r="C94" s="186"/>
      <c r="D94" s="187">
        <v>1939043.66</v>
      </c>
      <c r="E94" s="188">
        <v>1757300.55</v>
      </c>
      <c r="G94" s="118"/>
      <c r="H94" s="114">
        <v>260042.8</v>
      </c>
      <c r="I94" s="119">
        <v>520138.82</v>
      </c>
      <c r="K94" s="118"/>
      <c r="L94" s="114">
        <v>83372.3</v>
      </c>
      <c r="M94" s="119">
        <v>83372.3</v>
      </c>
    </row>
    <row r="95" spans="2:13" hidden="1" x14ac:dyDescent="0.3">
      <c r="C95" s="120" t="s">
        <v>362</v>
      </c>
      <c r="D95" s="115">
        <v>359</v>
      </c>
      <c r="E95" s="121">
        <v>176</v>
      </c>
      <c r="G95" s="120" t="s">
        <v>362</v>
      </c>
      <c r="H95" s="115">
        <v>522</v>
      </c>
      <c r="I95" s="121">
        <v>490</v>
      </c>
      <c r="K95" s="120" t="s">
        <v>362</v>
      </c>
      <c r="L95" s="115">
        <v>661</v>
      </c>
      <c r="M95" s="121">
        <v>660</v>
      </c>
    </row>
    <row r="96" spans="2:13" ht="16.2" hidden="1" thickBot="1" x14ac:dyDescent="0.35">
      <c r="C96" s="122" t="s">
        <v>363</v>
      </c>
      <c r="D96" s="116">
        <v>176</v>
      </c>
      <c r="E96" s="123">
        <v>359</v>
      </c>
      <c r="G96" s="122" t="s">
        <v>363</v>
      </c>
      <c r="H96" s="116">
        <v>490</v>
      </c>
      <c r="I96" s="123">
        <v>522</v>
      </c>
      <c r="K96" s="122" t="s">
        <v>363</v>
      </c>
      <c r="L96" s="116">
        <v>660</v>
      </c>
      <c r="M96" s="123">
        <v>661</v>
      </c>
    </row>
    <row r="97" spans="2:13" hidden="1" x14ac:dyDescent="0.3"/>
    <row r="98" spans="2:13" ht="16.2" hidden="1" thickBot="1" x14ac:dyDescent="0.35">
      <c r="C98" s="382" t="s">
        <v>508</v>
      </c>
      <c r="D98" s="383"/>
      <c r="E98" s="384"/>
      <c r="G98" s="382" t="s">
        <v>364</v>
      </c>
      <c r="H98" s="383"/>
      <c r="I98" s="384"/>
    </row>
    <row r="99" spans="2:13" hidden="1" x14ac:dyDescent="0.3">
      <c r="C99" s="118"/>
      <c r="D99" s="114">
        <v>3415.49</v>
      </c>
      <c r="E99" s="119">
        <v>-276.51</v>
      </c>
      <c r="G99" s="118"/>
      <c r="H99" s="114">
        <v>82660.97</v>
      </c>
      <c r="I99" s="267">
        <v>54882.53</v>
      </c>
    </row>
    <row r="100" spans="2:13" hidden="1" x14ac:dyDescent="0.3">
      <c r="C100" s="120" t="s">
        <v>362</v>
      </c>
      <c r="D100" s="115">
        <v>641</v>
      </c>
      <c r="E100" s="121">
        <v>145</v>
      </c>
      <c r="G100" s="120" t="s">
        <v>362</v>
      </c>
      <c r="H100" s="115">
        <v>644</v>
      </c>
      <c r="I100" s="121">
        <v>630</v>
      </c>
    </row>
    <row r="101" spans="2:13" ht="16.2" hidden="1" thickBot="1" x14ac:dyDescent="0.35">
      <c r="C101" s="122" t="s">
        <v>363</v>
      </c>
      <c r="D101" s="116">
        <v>175</v>
      </c>
      <c r="E101" s="123">
        <v>202</v>
      </c>
      <c r="G101" s="122" t="s">
        <v>363</v>
      </c>
      <c r="H101" s="116">
        <v>630</v>
      </c>
      <c r="I101" s="123">
        <v>644</v>
      </c>
    </row>
    <row r="102" spans="2:13" x14ac:dyDescent="0.3">
      <c r="C102" s="247"/>
      <c r="D102" s="115"/>
      <c r="E102" s="115"/>
      <c r="G102" s="247"/>
      <c r="H102" s="115"/>
      <c r="I102" s="115"/>
    </row>
    <row r="103" spans="2:13" ht="16.2" thickBot="1" x14ac:dyDescent="0.35"/>
    <row r="104" spans="2:13" ht="15.6" customHeight="1" thickBot="1" x14ac:dyDescent="0.35">
      <c r="B104" s="117" t="s">
        <v>699</v>
      </c>
      <c r="C104" s="385" t="s">
        <v>360</v>
      </c>
      <c r="D104" s="386"/>
      <c r="E104" s="387"/>
      <c r="G104" s="382" t="s">
        <v>361</v>
      </c>
      <c r="H104" s="383"/>
      <c r="I104" s="384"/>
      <c r="K104" s="382" t="s">
        <v>365</v>
      </c>
      <c r="L104" s="383"/>
      <c r="M104" s="384"/>
    </row>
    <row r="105" spans="2:13" x14ac:dyDescent="0.3">
      <c r="C105" s="186"/>
      <c r="D105" s="187">
        <f>E83</f>
        <v>1277499.07</v>
      </c>
      <c r="E105" s="188">
        <v>420726.9700000002</v>
      </c>
      <c r="G105" s="118"/>
      <c r="H105" s="114">
        <f>I83</f>
        <v>25308.400000000001</v>
      </c>
      <c r="I105" s="119">
        <v>291507.67000000004</v>
      </c>
      <c r="K105" s="118"/>
      <c r="L105" s="114">
        <f>M83</f>
        <v>5882.4</v>
      </c>
      <c r="M105" s="119">
        <v>5882.4</v>
      </c>
    </row>
    <row r="106" spans="2:13" x14ac:dyDescent="0.3">
      <c r="C106" s="120" t="s">
        <v>362</v>
      </c>
      <c r="D106" s="115">
        <v>359</v>
      </c>
      <c r="E106" s="121">
        <v>176</v>
      </c>
      <c r="G106" s="120" t="s">
        <v>362</v>
      </c>
      <c r="H106" s="115">
        <v>522</v>
      </c>
      <c r="I106" s="121">
        <v>490</v>
      </c>
      <c r="K106" s="120" t="s">
        <v>362</v>
      </c>
      <c r="L106" s="115">
        <v>661</v>
      </c>
      <c r="M106" s="121">
        <v>660</v>
      </c>
    </row>
    <row r="107" spans="2:13" ht="16.2" thickBot="1" x14ac:dyDescent="0.35">
      <c r="C107" s="122" t="s">
        <v>363</v>
      </c>
      <c r="D107" s="116">
        <v>176</v>
      </c>
      <c r="E107" s="123">
        <v>359</v>
      </c>
      <c r="G107" s="122" t="s">
        <v>363</v>
      </c>
      <c r="H107" s="116">
        <v>490</v>
      </c>
      <c r="I107" s="123">
        <v>522</v>
      </c>
      <c r="K107" s="122" t="s">
        <v>363</v>
      </c>
      <c r="L107" s="116">
        <v>660</v>
      </c>
      <c r="M107" s="123">
        <v>661</v>
      </c>
    </row>
    <row r="108" spans="2:13" x14ac:dyDescent="0.3">
      <c r="B108" s="136"/>
    </row>
    <row r="109" spans="2:13" ht="15.6" hidden="1" customHeight="1" x14ac:dyDescent="0.3">
      <c r="B109" s="117" t="s">
        <v>564</v>
      </c>
      <c r="C109" s="382" t="s">
        <v>360</v>
      </c>
      <c r="D109" s="383"/>
      <c r="E109" s="384"/>
      <c r="G109" s="382" t="s">
        <v>361</v>
      </c>
      <c r="H109" s="383"/>
      <c r="I109" s="384"/>
      <c r="K109" s="382" t="s">
        <v>365</v>
      </c>
      <c r="L109" s="383"/>
      <c r="M109" s="384"/>
    </row>
    <row r="110" spans="2:13" hidden="1" x14ac:dyDescent="0.3">
      <c r="C110" s="186"/>
      <c r="D110" s="187">
        <v>1939043.66</v>
      </c>
      <c r="E110" s="188">
        <v>1757300.55</v>
      </c>
      <c r="G110" s="118"/>
      <c r="H110" s="114">
        <v>260042.8</v>
      </c>
      <c r="I110" s="119">
        <v>520138.82</v>
      </c>
      <c r="K110" s="118"/>
      <c r="L110" s="114">
        <v>83372.3</v>
      </c>
      <c r="M110" s="119">
        <v>83372.3</v>
      </c>
    </row>
    <row r="111" spans="2:13" hidden="1" x14ac:dyDescent="0.3">
      <c r="C111" s="120" t="s">
        <v>362</v>
      </c>
      <c r="D111" s="115">
        <v>359</v>
      </c>
      <c r="E111" s="121">
        <v>176</v>
      </c>
      <c r="G111" s="120" t="s">
        <v>362</v>
      </c>
      <c r="H111" s="115">
        <v>522</v>
      </c>
      <c r="I111" s="121">
        <v>490</v>
      </c>
      <c r="K111" s="120" t="s">
        <v>362</v>
      </c>
      <c r="L111" s="115">
        <v>661</v>
      </c>
      <c r="M111" s="121">
        <v>660</v>
      </c>
    </row>
    <row r="112" spans="2:13" ht="16.2" hidden="1" thickBot="1" x14ac:dyDescent="0.35">
      <c r="C112" s="122" t="s">
        <v>363</v>
      </c>
      <c r="D112" s="116">
        <v>176</v>
      </c>
      <c r="E112" s="123">
        <v>359</v>
      </c>
      <c r="G112" s="122" t="s">
        <v>363</v>
      </c>
      <c r="H112" s="116">
        <v>490</v>
      </c>
      <c r="I112" s="123">
        <v>522</v>
      </c>
      <c r="K112" s="122" t="s">
        <v>363</v>
      </c>
      <c r="L112" s="116">
        <v>660</v>
      </c>
      <c r="M112" s="123">
        <v>661</v>
      </c>
    </row>
    <row r="113" spans="2:13" hidden="1" x14ac:dyDescent="0.3"/>
    <row r="114" spans="2:13" ht="16.2" hidden="1" thickBot="1" x14ac:dyDescent="0.35">
      <c r="C114" s="382" t="s">
        <v>508</v>
      </c>
      <c r="D114" s="383"/>
      <c r="E114" s="384"/>
      <c r="G114" s="382" t="s">
        <v>364</v>
      </c>
      <c r="H114" s="383"/>
      <c r="I114" s="384"/>
    </row>
    <row r="115" spans="2:13" hidden="1" x14ac:dyDescent="0.3">
      <c r="C115" s="118"/>
      <c r="D115" s="114">
        <v>3415.49</v>
      </c>
      <c r="E115" s="119">
        <v>-276.51</v>
      </c>
      <c r="G115" s="118"/>
      <c r="H115" s="114">
        <v>82660.97</v>
      </c>
      <c r="I115" s="267">
        <v>54882.53</v>
      </c>
    </row>
    <row r="116" spans="2:13" hidden="1" x14ac:dyDescent="0.3">
      <c r="C116" s="120" t="s">
        <v>362</v>
      </c>
      <c r="D116" s="115">
        <v>641</v>
      </c>
      <c r="E116" s="121">
        <v>145</v>
      </c>
      <c r="G116" s="120" t="s">
        <v>362</v>
      </c>
      <c r="H116" s="115">
        <v>644</v>
      </c>
      <c r="I116" s="121">
        <v>630</v>
      </c>
    </row>
    <row r="117" spans="2:13" ht="16.2" hidden="1" thickBot="1" x14ac:dyDescent="0.35">
      <c r="C117" s="122" t="s">
        <v>363</v>
      </c>
      <c r="D117" s="116">
        <v>175</v>
      </c>
      <c r="E117" s="123">
        <v>202</v>
      </c>
      <c r="G117" s="122" t="s">
        <v>363</v>
      </c>
      <c r="H117" s="116">
        <v>630</v>
      </c>
      <c r="I117" s="123">
        <v>644</v>
      </c>
    </row>
    <row r="118" spans="2:13" x14ac:dyDescent="0.3">
      <c r="C118" s="247"/>
      <c r="D118" s="115"/>
      <c r="E118" s="115"/>
      <c r="G118" s="247"/>
      <c r="H118" s="115"/>
      <c r="I118" s="115"/>
    </row>
    <row r="119" spans="2:13" ht="16.2" thickBot="1" x14ac:dyDescent="0.35"/>
    <row r="120" spans="2:13" ht="15.6" customHeight="1" thickBot="1" x14ac:dyDescent="0.35">
      <c r="B120" s="117" t="s">
        <v>701</v>
      </c>
      <c r="C120" s="385" t="s">
        <v>360</v>
      </c>
      <c r="D120" s="386"/>
      <c r="E120" s="387"/>
      <c r="G120" s="382" t="s">
        <v>361</v>
      </c>
      <c r="H120" s="383"/>
      <c r="I120" s="384"/>
      <c r="K120" s="382" t="s">
        <v>365</v>
      </c>
      <c r="L120" s="383"/>
      <c r="M120" s="384"/>
    </row>
    <row r="121" spans="2:13" x14ac:dyDescent="0.3">
      <c r="C121" s="186"/>
      <c r="D121" s="187">
        <f>E105</f>
        <v>420726.9700000002</v>
      </c>
      <c r="E121" s="188">
        <v>378946.33000000019</v>
      </c>
      <c r="G121" s="118"/>
      <c r="H121" s="114">
        <f>I105</f>
        <v>291507.67000000004</v>
      </c>
      <c r="I121" s="119">
        <v>219272.79000000015</v>
      </c>
      <c r="K121" s="118"/>
      <c r="L121" s="114">
        <f>M105</f>
        <v>5882.4</v>
      </c>
      <c r="M121" s="119">
        <v>5882.4</v>
      </c>
    </row>
    <row r="122" spans="2:13" x14ac:dyDescent="0.3">
      <c r="C122" s="120" t="s">
        <v>362</v>
      </c>
      <c r="D122" s="115">
        <v>359</v>
      </c>
      <c r="E122" s="121">
        <v>176</v>
      </c>
      <c r="G122" s="120" t="s">
        <v>362</v>
      </c>
      <c r="H122" s="115">
        <v>522</v>
      </c>
      <c r="I122" s="121">
        <v>490</v>
      </c>
      <c r="K122" s="120" t="s">
        <v>362</v>
      </c>
      <c r="L122" s="115">
        <v>661</v>
      </c>
      <c r="M122" s="121">
        <v>660</v>
      </c>
    </row>
    <row r="123" spans="2:13" ht="16.2" thickBot="1" x14ac:dyDescent="0.35">
      <c r="C123" s="122" t="s">
        <v>363</v>
      </c>
      <c r="D123" s="116">
        <v>176</v>
      </c>
      <c r="E123" s="123">
        <v>359</v>
      </c>
      <c r="G123" s="122" t="s">
        <v>363</v>
      </c>
      <c r="H123" s="116">
        <v>490</v>
      </c>
      <c r="I123" s="123">
        <v>522</v>
      </c>
      <c r="K123" s="122" t="s">
        <v>363</v>
      </c>
      <c r="L123" s="116">
        <v>660</v>
      </c>
      <c r="M123" s="123">
        <v>661</v>
      </c>
    </row>
    <row r="124" spans="2:13" x14ac:dyDescent="0.3">
      <c r="B124" s="136"/>
    </row>
    <row r="125" spans="2:13" ht="15.6" hidden="1" customHeight="1" x14ac:dyDescent="0.3">
      <c r="B125" s="117" t="s">
        <v>564</v>
      </c>
      <c r="C125" s="382" t="s">
        <v>360</v>
      </c>
      <c r="D125" s="383"/>
      <c r="E125" s="384"/>
      <c r="G125" s="382" t="s">
        <v>361</v>
      </c>
      <c r="H125" s="383"/>
      <c r="I125" s="384"/>
      <c r="K125" s="382" t="s">
        <v>365</v>
      </c>
      <c r="L125" s="383"/>
      <c r="M125" s="384"/>
    </row>
    <row r="126" spans="2:13" hidden="1" x14ac:dyDescent="0.3">
      <c r="C126" s="186"/>
      <c r="D126" s="187">
        <v>1939043.66</v>
      </c>
      <c r="E126" s="188">
        <v>1757300.55</v>
      </c>
      <c r="G126" s="118"/>
      <c r="H126" s="114">
        <v>260042.8</v>
      </c>
      <c r="I126" s="119">
        <v>520138.82</v>
      </c>
      <c r="K126" s="118"/>
      <c r="L126" s="114">
        <v>83372.3</v>
      </c>
      <c r="M126" s="119">
        <v>83372.3</v>
      </c>
    </row>
    <row r="127" spans="2:13" hidden="1" x14ac:dyDescent="0.3">
      <c r="C127" s="120" t="s">
        <v>362</v>
      </c>
      <c r="D127" s="115">
        <v>359</v>
      </c>
      <c r="E127" s="121">
        <v>176</v>
      </c>
      <c r="G127" s="120" t="s">
        <v>362</v>
      </c>
      <c r="H127" s="115">
        <v>522</v>
      </c>
      <c r="I127" s="121">
        <v>490</v>
      </c>
      <c r="K127" s="120" t="s">
        <v>362</v>
      </c>
      <c r="L127" s="115">
        <v>661</v>
      </c>
      <c r="M127" s="121">
        <v>660</v>
      </c>
    </row>
    <row r="128" spans="2:13" ht="16.2" hidden="1" thickBot="1" x14ac:dyDescent="0.35">
      <c r="C128" s="122" t="s">
        <v>363</v>
      </c>
      <c r="D128" s="116">
        <v>176</v>
      </c>
      <c r="E128" s="123">
        <v>359</v>
      </c>
      <c r="G128" s="122" t="s">
        <v>363</v>
      </c>
      <c r="H128" s="116">
        <v>490</v>
      </c>
      <c r="I128" s="123">
        <v>522</v>
      </c>
      <c r="K128" s="122" t="s">
        <v>363</v>
      </c>
      <c r="L128" s="116">
        <v>660</v>
      </c>
      <c r="M128" s="123">
        <v>661</v>
      </c>
    </row>
    <row r="129" spans="2:13" hidden="1" x14ac:dyDescent="0.3"/>
    <row r="130" spans="2:13" ht="16.2" hidden="1" thickBot="1" x14ac:dyDescent="0.35">
      <c r="C130" s="382" t="s">
        <v>508</v>
      </c>
      <c r="D130" s="383"/>
      <c r="E130" s="384"/>
      <c r="G130" s="382" t="s">
        <v>364</v>
      </c>
      <c r="H130" s="383"/>
      <c r="I130" s="384"/>
    </row>
    <row r="131" spans="2:13" hidden="1" x14ac:dyDescent="0.3">
      <c r="C131" s="118"/>
      <c r="D131" s="114">
        <v>3415.49</v>
      </c>
      <c r="E131" s="119">
        <v>-276.51</v>
      </c>
      <c r="G131" s="118"/>
      <c r="H131" s="114">
        <v>82660.97</v>
      </c>
      <c r="I131" s="267">
        <v>54882.53</v>
      </c>
    </row>
    <row r="132" spans="2:13" hidden="1" x14ac:dyDescent="0.3">
      <c r="C132" s="120" t="s">
        <v>362</v>
      </c>
      <c r="D132" s="115">
        <v>641</v>
      </c>
      <c r="E132" s="121">
        <v>145</v>
      </c>
      <c r="G132" s="120" t="s">
        <v>362</v>
      </c>
      <c r="H132" s="115">
        <v>644</v>
      </c>
      <c r="I132" s="121">
        <v>630</v>
      </c>
    </row>
    <row r="133" spans="2:13" ht="16.2" hidden="1" thickBot="1" x14ac:dyDescent="0.35">
      <c r="C133" s="122" t="s">
        <v>363</v>
      </c>
      <c r="D133" s="116">
        <v>175</v>
      </c>
      <c r="E133" s="123">
        <v>202</v>
      </c>
      <c r="G133" s="122" t="s">
        <v>363</v>
      </c>
      <c r="H133" s="116">
        <v>630</v>
      </c>
      <c r="I133" s="123">
        <v>644</v>
      </c>
    </row>
    <row r="134" spans="2:13" x14ac:dyDescent="0.3">
      <c r="C134" s="247"/>
      <c r="D134" s="115"/>
      <c r="E134" s="115"/>
      <c r="G134" s="247"/>
      <c r="H134" s="115"/>
      <c r="I134" s="115"/>
    </row>
    <row r="135" spans="2:13" ht="16.2" thickBot="1" x14ac:dyDescent="0.35"/>
    <row r="136" spans="2:13" ht="15.6" customHeight="1" thickBot="1" x14ac:dyDescent="0.35">
      <c r="B136" s="117" t="s">
        <v>702</v>
      </c>
      <c r="C136" s="385" t="s">
        <v>360</v>
      </c>
      <c r="D136" s="386"/>
      <c r="E136" s="387"/>
      <c r="G136" s="382" t="s">
        <v>361</v>
      </c>
      <c r="H136" s="383"/>
      <c r="I136" s="384"/>
      <c r="K136" s="382" t="s">
        <v>365</v>
      </c>
      <c r="L136" s="383"/>
      <c r="M136" s="384"/>
    </row>
    <row r="137" spans="2:13" x14ac:dyDescent="0.3">
      <c r="C137" s="186"/>
      <c r="D137" s="187">
        <f>E121</f>
        <v>378946.33000000019</v>
      </c>
      <c r="E137" s="188">
        <v>182144.23000000021</v>
      </c>
      <c r="G137" s="118"/>
      <c r="H137" s="114">
        <f>I121</f>
        <v>219272.79000000015</v>
      </c>
      <c r="I137" s="119">
        <v>151252.21000000014</v>
      </c>
      <c r="K137" s="118"/>
      <c r="L137" s="114">
        <f>M121</f>
        <v>5882.4</v>
      </c>
      <c r="M137" s="119">
        <v>5882.4</v>
      </c>
    </row>
    <row r="138" spans="2:13" x14ac:dyDescent="0.3">
      <c r="C138" s="120" t="s">
        <v>362</v>
      </c>
      <c r="D138" s="115">
        <v>359</v>
      </c>
      <c r="E138" s="121">
        <v>176</v>
      </c>
      <c r="G138" s="120" t="s">
        <v>362</v>
      </c>
      <c r="H138" s="115">
        <v>522</v>
      </c>
      <c r="I138" s="121">
        <v>490</v>
      </c>
      <c r="K138" s="120" t="s">
        <v>362</v>
      </c>
      <c r="L138" s="115">
        <v>661</v>
      </c>
      <c r="M138" s="121">
        <v>660</v>
      </c>
    </row>
    <row r="139" spans="2:13" ht="16.2" thickBot="1" x14ac:dyDescent="0.35">
      <c r="C139" s="122" t="s">
        <v>363</v>
      </c>
      <c r="D139" s="116">
        <v>176</v>
      </c>
      <c r="E139" s="123">
        <v>359</v>
      </c>
      <c r="G139" s="122" t="s">
        <v>363</v>
      </c>
      <c r="H139" s="116">
        <v>490</v>
      </c>
      <c r="I139" s="123">
        <v>522</v>
      </c>
      <c r="K139" s="122" t="s">
        <v>363</v>
      </c>
      <c r="L139" s="116">
        <v>660</v>
      </c>
      <c r="M139" s="123">
        <v>661</v>
      </c>
    </row>
  </sheetData>
  <mergeCells count="34">
    <mergeCell ref="C136:E136"/>
    <mergeCell ref="G136:I136"/>
    <mergeCell ref="K136:M136"/>
    <mergeCell ref="C125:E125"/>
    <mergeCell ref="G125:I125"/>
    <mergeCell ref="K125:M125"/>
    <mergeCell ref="C130:E130"/>
    <mergeCell ref="G130:I130"/>
    <mergeCell ref="C114:E114"/>
    <mergeCell ref="G114:I114"/>
    <mergeCell ref="C120:E120"/>
    <mergeCell ref="G120:I120"/>
    <mergeCell ref="K120:M120"/>
    <mergeCell ref="G104:I104"/>
    <mergeCell ref="K104:M104"/>
    <mergeCell ref="C104:E104"/>
    <mergeCell ref="C109:E109"/>
    <mergeCell ref="G109:I109"/>
    <mergeCell ref="K109:M109"/>
    <mergeCell ref="P59:U61"/>
    <mergeCell ref="K71:M71"/>
    <mergeCell ref="G71:I71"/>
    <mergeCell ref="C71:E71"/>
    <mergeCell ref="C98:E98"/>
    <mergeCell ref="C93:E93"/>
    <mergeCell ref="G93:I93"/>
    <mergeCell ref="K93:M93"/>
    <mergeCell ref="G76:I76"/>
    <mergeCell ref="C76:E76"/>
    <mergeCell ref="G98:I98"/>
    <mergeCell ref="C82:E82"/>
    <mergeCell ref="G82:I82"/>
    <mergeCell ref="K82:M82"/>
    <mergeCell ref="C88:E88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8" orientation="landscape" r:id="rId1"/>
  <headerFooter>
    <oddHeader>&amp;C&amp;"Arial,Negrito"&amp;18PROVISÕES DA RECEITA X DESPESA 2025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X52"/>
  <sheetViews>
    <sheetView showGridLines="0" zoomScale="70" zoomScaleNormal="70" workbookViewId="0">
      <selection activeCell="V56" sqref="V56"/>
    </sheetView>
  </sheetViews>
  <sheetFormatPr defaultColWidth="9.109375" defaultRowHeight="13.2" x14ac:dyDescent="0.25"/>
  <cols>
    <col min="3" max="3" width="9.109375" customWidth="1"/>
    <col min="5" max="5" width="10.88671875" customWidth="1"/>
    <col min="6" max="6" width="15" bestFit="1" customWidth="1"/>
    <col min="11" max="11" width="16.5546875" customWidth="1"/>
    <col min="12" max="12" width="1.44140625" customWidth="1"/>
    <col min="13" max="13" width="15" bestFit="1" customWidth="1"/>
    <col min="14" max="14" width="9.109375" style="142"/>
    <col min="15" max="15" width="12.88671875" style="142" hidden="1" customWidth="1"/>
    <col min="16" max="17" width="11.88671875" style="142" hidden="1" customWidth="1"/>
    <col min="18" max="18" width="0" style="142" hidden="1" customWidth="1"/>
    <col min="19" max="19" width="12.88671875" style="142" hidden="1" customWidth="1"/>
    <col min="20" max="20" width="11.88671875" style="142" hidden="1" customWidth="1"/>
    <col min="21" max="21" width="13.6640625" style="142" bestFit="1" customWidth="1"/>
    <col min="22" max="23" width="12.109375" style="142" bestFit="1" customWidth="1"/>
    <col min="24" max="24" width="9.109375" style="142"/>
  </cols>
  <sheetData>
    <row r="3" spans="2:24" s="44" customFormat="1" ht="17.399999999999999" x14ac:dyDescent="0.3">
      <c r="B3" s="389" t="s">
        <v>0</v>
      </c>
      <c r="C3" s="389"/>
      <c r="D3" s="389"/>
      <c r="E3" s="389"/>
      <c r="F3" s="389"/>
      <c r="G3" s="389"/>
      <c r="H3" s="389"/>
      <c r="I3" s="389"/>
      <c r="J3" s="389"/>
      <c r="K3" s="389"/>
      <c r="L3" s="389"/>
      <c r="M3" s="389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</row>
    <row r="4" spans="2:24" ht="7.5" customHeight="1" x14ac:dyDescent="0.25"/>
    <row r="5" spans="2:24" x14ac:dyDescent="0.25">
      <c r="B5" s="390" t="s">
        <v>366</v>
      </c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</row>
    <row r="7" spans="2:24" s="45" customFormat="1" ht="13.8" x14ac:dyDescent="0.25">
      <c r="B7" s="391" t="s">
        <v>703</v>
      </c>
      <c r="C7" s="391"/>
      <c r="D7" s="391"/>
      <c r="E7" s="391"/>
      <c r="F7" s="391"/>
      <c r="G7" s="391"/>
      <c r="H7" s="391"/>
      <c r="I7" s="391"/>
      <c r="J7" s="391"/>
      <c r="K7" s="391"/>
      <c r="L7" s="391"/>
      <c r="M7" s="391"/>
      <c r="N7" s="175"/>
      <c r="O7" s="175"/>
      <c r="P7" s="175"/>
      <c r="Q7" s="175"/>
      <c r="R7" s="176"/>
      <c r="S7" s="176"/>
      <c r="T7" s="176"/>
      <c r="U7" s="176"/>
      <c r="V7" s="176"/>
      <c r="W7" s="175"/>
      <c r="X7" s="175"/>
    </row>
    <row r="8" spans="2:24" x14ac:dyDescent="0.25">
      <c r="R8" s="177"/>
      <c r="S8" s="177"/>
      <c r="T8" s="177"/>
      <c r="U8" s="177"/>
      <c r="V8" s="177"/>
    </row>
    <row r="9" spans="2:24" x14ac:dyDescent="0.25">
      <c r="F9" s="5"/>
      <c r="M9" s="5" t="s">
        <v>367</v>
      </c>
      <c r="R9" s="177"/>
      <c r="S9" s="177"/>
      <c r="T9" s="177"/>
      <c r="U9" s="177"/>
      <c r="V9" s="177"/>
    </row>
    <row r="10" spans="2:24" x14ac:dyDescent="0.25">
      <c r="R10" s="177"/>
      <c r="S10" s="177">
        <v>-24864</v>
      </c>
      <c r="T10" s="177">
        <v>247210</v>
      </c>
      <c r="U10" s="177"/>
      <c r="V10" s="177"/>
    </row>
    <row r="11" spans="2:24" x14ac:dyDescent="0.25">
      <c r="R11" s="177"/>
      <c r="S11" s="177">
        <v>80368</v>
      </c>
      <c r="T11" s="177">
        <v>109687</v>
      </c>
      <c r="U11" s="177"/>
      <c r="V11" s="177"/>
    </row>
    <row r="12" spans="2:24" ht="15.6" x14ac:dyDescent="0.3">
      <c r="B12" s="75" t="s">
        <v>368</v>
      </c>
      <c r="H12" s="75" t="s">
        <v>369</v>
      </c>
      <c r="R12" s="177"/>
      <c r="S12" s="177">
        <v>-82116</v>
      </c>
      <c r="T12" s="177">
        <v>-144467</v>
      </c>
      <c r="U12" s="177"/>
      <c r="V12" s="177"/>
    </row>
    <row r="13" spans="2:24" x14ac:dyDescent="0.25">
      <c r="R13" s="177"/>
      <c r="S13" s="177">
        <v>70752</v>
      </c>
      <c r="T13" s="177">
        <v>-6983</v>
      </c>
      <c r="U13" s="177"/>
      <c r="V13" s="177"/>
    </row>
    <row r="14" spans="2:24" x14ac:dyDescent="0.25">
      <c r="B14" s="13" t="s">
        <v>3</v>
      </c>
      <c r="C14" s="13"/>
      <c r="F14" s="76"/>
      <c r="H14" s="13" t="str">
        <f>B14</f>
        <v>CIRCULANTE</v>
      </c>
      <c r="M14" s="163"/>
      <c r="R14" s="177"/>
      <c r="S14" s="177">
        <v>-109</v>
      </c>
      <c r="T14" s="177">
        <v>54715</v>
      </c>
      <c r="U14" s="177"/>
      <c r="V14" s="177"/>
    </row>
    <row r="15" spans="2:24" x14ac:dyDescent="0.25">
      <c r="B15" s="5" t="s">
        <v>706</v>
      </c>
      <c r="F15" s="163">
        <f>F24-F18-F16-F22-F19-F20-F21-F23-F17</f>
        <v>3966782.5399999996</v>
      </c>
      <c r="H15" s="5" t="s">
        <v>608</v>
      </c>
      <c r="M15" s="46">
        <f>SUM(Balancete!M168)</f>
        <v>0</v>
      </c>
      <c r="P15" s="177"/>
      <c r="Q15" s="177"/>
      <c r="R15" s="177"/>
      <c r="S15" s="177">
        <v>325135</v>
      </c>
      <c r="T15" s="177">
        <v>-257670</v>
      </c>
      <c r="U15" s="177"/>
      <c r="V15" s="177"/>
    </row>
    <row r="16" spans="2:24" x14ac:dyDescent="0.25">
      <c r="B16" s="5" t="s">
        <v>707</v>
      </c>
      <c r="F16" s="163">
        <f>Balancete!M110</f>
        <v>3645828.82</v>
      </c>
      <c r="H16" s="5" t="s">
        <v>370</v>
      </c>
      <c r="M16" s="163">
        <f>Balancete!M178</f>
        <v>89010.45</v>
      </c>
      <c r="O16" s="144"/>
      <c r="P16" s="177">
        <f>P17-O17</f>
        <v>-76595.920000000013</v>
      </c>
      <c r="Q16" s="177">
        <f>Q17-P17</f>
        <v>254397.53</v>
      </c>
      <c r="R16" s="177"/>
      <c r="S16" s="177">
        <v>-37637</v>
      </c>
      <c r="T16" s="177">
        <v>24447</v>
      </c>
      <c r="U16" s="177"/>
      <c r="V16" s="177"/>
    </row>
    <row r="17" spans="2:23" x14ac:dyDescent="0.25">
      <c r="B17" s="5" t="s">
        <v>708</v>
      </c>
      <c r="F17" s="46">
        <f>Balancete!M111</f>
        <v>400</v>
      </c>
      <c r="H17" s="5" t="s">
        <v>371</v>
      </c>
      <c r="M17" s="163">
        <f>M24-M20-M16-M19-M18-M21-M22-M23-M15</f>
        <v>264002.67999999993</v>
      </c>
      <c r="O17" s="144">
        <f>'[1]Balancete agosto 2017'!$D$70</f>
        <v>-177801.61</v>
      </c>
      <c r="P17" s="177">
        <f>'[2]Balancete 2018 '!$H$70</f>
        <v>-254397.53</v>
      </c>
      <c r="Q17" s="177">
        <f>Balancete!D157</f>
        <v>0</v>
      </c>
      <c r="R17" s="177"/>
      <c r="S17" s="177">
        <f>SUM(S10:S16)</f>
        <v>331529</v>
      </c>
      <c r="T17" s="177">
        <f>SUM(T10:T16)</f>
        <v>26939</v>
      </c>
      <c r="U17" s="177"/>
      <c r="V17" s="177"/>
    </row>
    <row r="18" spans="2:23" x14ac:dyDescent="0.25">
      <c r="B18" s="5" t="s">
        <v>709</v>
      </c>
      <c r="F18" s="166">
        <f>Balancete!M117+Balancete!M116+Balancete!M114+Balancete!M115+Balancete!M113+Balancete!M112</f>
        <v>3135.65</v>
      </c>
      <c r="H18" s="5" t="s">
        <v>372</v>
      </c>
      <c r="M18" s="163">
        <f>Balancete!M192</f>
        <v>5882.4</v>
      </c>
      <c r="O18" s="144"/>
      <c r="P18" s="177"/>
      <c r="Q18" s="177"/>
      <c r="R18" s="177"/>
      <c r="S18" s="177"/>
      <c r="T18" s="177"/>
      <c r="U18" s="177"/>
      <c r="V18" s="177"/>
    </row>
    <row r="19" spans="2:23" x14ac:dyDescent="0.25">
      <c r="B19" s="5" t="s">
        <v>710</v>
      </c>
      <c r="F19" s="163">
        <f>SUM(Balancete!M119)</f>
        <v>0</v>
      </c>
      <c r="H19" s="5" t="s">
        <v>480</v>
      </c>
      <c r="M19" s="163">
        <f>Balancete!M186</f>
        <v>182144.23</v>
      </c>
      <c r="O19" s="144"/>
      <c r="P19" s="177"/>
      <c r="Q19" s="177"/>
      <c r="R19" s="177"/>
      <c r="S19" s="177"/>
      <c r="T19" s="177"/>
      <c r="U19" s="177"/>
      <c r="V19" s="177"/>
    </row>
    <row r="20" spans="2:23" x14ac:dyDescent="0.25">
      <c r="B20" s="5" t="s">
        <v>711</v>
      </c>
      <c r="F20" s="163">
        <f>Balancete!M121</f>
        <v>0</v>
      </c>
      <c r="H20" s="5" t="s">
        <v>373</v>
      </c>
      <c r="M20" s="163">
        <f>Balancete!M187</f>
        <v>151252.21</v>
      </c>
      <c r="O20" s="144"/>
      <c r="P20" s="177"/>
      <c r="Q20" s="177"/>
      <c r="R20" s="177"/>
      <c r="S20" s="177"/>
      <c r="T20" s="177"/>
      <c r="U20" s="177"/>
      <c r="V20" s="177"/>
    </row>
    <row r="21" spans="2:23" x14ac:dyDescent="0.25">
      <c r="B21" s="5" t="s">
        <v>712</v>
      </c>
      <c r="F21" s="46">
        <f>Balancete!M124+Balancete!M125+Balancete!M126</f>
        <v>29633.9</v>
      </c>
      <c r="H21" s="5" t="s">
        <v>374</v>
      </c>
      <c r="M21" s="163">
        <f>Balancete!M189</f>
        <v>0</v>
      </c>
      <c r="O21" s="144">
        <f>'[1]Balancete agosto 2017'!$C$311</f>
        <v>61060.59</v>
      </c>
      <c r="P21" s="177">
        <f>'[2]Balancete 2018 '!$C$320</f>
        <v>76595.92</v>
      </c>
      <c r="Q21" s="177">
        <f>Balancete!C516</f>
        <v>61694.46</v>
      </c>
      <c r="R21" s="177"/>
      <c r="S21" s="177"/>
      <c r="T21" s="177"/>
      <c r="U21" s="177"/>
      <c r="V21" s="177"/>
    </row>
    <row r="22" spans="2:23" x14ac:dyDescent="0.25">
      <c r="B22" s="5" t="s">
        <v>713</v>
      </c>
      <c r="F22" s="163">
        <f>Balancete!M129</f>
        <v>0</v>
      </c>
      <c r="H22" s="5" t="s">
        <v>375</v>
      </c>
      <c r="M22" s="163">
        <f>Balancete!M191</f>
        <v>0</v>
      </c>
      <c r="O22" s="144"/>
      <c r="P22" s="177"/>
      <c r="Q22" s="177"/>
      <c r="R22" s="177"/>
      <c r="S22" s="177"/>
      <c r="T22" s="177"/>
      <c r="U22" s="177"/>
      <c r="V22" s="177"/>
    </row>
    <row r="23" spans="2:23" x14ac:dyDescent="0.25">
      <c r="B23" s="5" t="s">
        <v>714</v>
      </c>
      <c r="F23" s="163">
        <f>Balancete!M130+Balancete!M131+Balancete!M132+Balancete!M133+Balancete!M135+Balancete!M134</f>
        <v>4820.9799999999996</v>
      </c>
      <c r="H23" s="5" t="s">
        <v>376</v>
      </c>
      <c r="M23" s="163">
        <f>Balancete!M188</f>
        <v>0</v>
      </c>
      <c r="O23" s="144"/>
      <c r="P23" s="177"/>
      <c r="Q23" s="177"/>
      <c r="R23" s="177"/>
      <c r="S23" s="177"/>
      <c r="T23" s="177"/>
      <c r="U23" s="177"/>
      <c r="V23" s="177"/>
    </row>
    <row r="24" spans="2:23" x14ac:dyDescent="0.25">
      <c r="C24" s="13" t="s">
        <v>377</v>
      </c>
      <c r="D24" s="13"/>
      <c r="E24" s="13"/>
      <c r="F24" s="167">
        <f>Balancete!M136</f>
        <v>7650601.8899999997</v>
      </c>
      <c r="H24" s="5" t="s">
        <v>71</v>
      </c>
      <c r="I24" s="13" t="s">
        <v>378</v>
      </c>
      <c r="J24" s="13"/>
      <c r="K24" s="13"/>
      <c r="M24" s="77">
        <f>Balancete!M194</f>
        <v>692291.97</v>
      </c>
      <c r="O24" s="144"/>
      <c r="P24" s="177"/>
      <c r="Q24" s="177">
        <f>Q17-P17</f>
        <v>254397.53</v>
      </c>
      <c r="R24" s="177"/>
      <c r="S24" s="177"/>
      <c r="T24" s="177"/>
      <c r="U24" s="177"/>
      <c r="V24" s="177"/>
    </row>
    <row r="25" spans="2:23" x14ac:dyDescent="0.25">
      <c r="F25" s="168">
        <f>Balancete!M136-F24</f>
        <v>0</v>
      </c>
      <c r="I25" s="13"/>
      <c r="J25" s="13"/>
      <c r="K25" s="13"/>
      <c r="M25" s="76">
        <f>Balancete!M194-Balanco!M24</f>
        <v>0</v>
      </c>
      <c r="P25" s="177"/>
      <c r="Q25" s="177"/>
      <c r="R25" s="177"/>
      <c r="S25" s="177"/>
      <c r="T25" s="177"/>
      <c r="U25" s="177"/>
      <c r="V25" s="177"/>
    </row>
    <row r="26" spans="2:23" x14ac:dyDescent="0.25">
      <c r="F26" s="163"/>
      <c r="M26" s="76"/>
      <c r="P26" s="177"/>
      <c r="Q26" s="177"/>
      <c r="R26" s="177"/>
      <c r="S26" s="177"/>
    </row>
    <row r="27" spans="2:23" x14ac:dyDescent="0.25">
      <c r="B27" s="13" t="s">
        <v>379</v>
      </c>
      <c r="F27" s="163"/>
      <c r="H27" s="13" t="s">
        <v>380</v>
      </c>
      <c r="M27" s="163"/>
      <c r="P27" s="177"/>
      <c r="Q27" s="177"/>
      <c r="R27" s="177"/>
      <c r="S27" s="177"/>
    </row>
    <row r="28" spans="2:23" x14ac:dyDescent="0.25">
      <c r="B28" s="5" t="s">
        <v>467</v>
      </c>
      <c r="F28" s="46">
        <f>SUM(Balancete!M140)</f>
        <v>8086.88</v>
      </c>
      <c r="H28" s="5" t="s">
        <v>382</v>
      </c>
      <c r="M28" s="163">
        <f>Balancete!M198</f>
        <v>5961423.3099999996</v>
      </c>
      <c r="P28" s="177"/>
      <c r="Q28" s="177"/>
      <c r="R28" s="177"/>
      <c r="S28" s="177"/>
    </row>
    <row r="29" spans="2:23" x14ac:dyDescent="0.25">
      <c r="B29" s="5" t="s">
        <v>604</v>
      </c>
      <c r="F29" s="46">
        <f>SUM(Balancete!M141)</f>
        <v>879.02</v>
      </c>
      <c r="H29" s="5" t="s">
        <v>383</v>
      </c>
      <c r="M29" s="163">
        <f>Balancete!M199</f>
        <v>-699488.15</v>
      </c>
      <c r="O29" s="144"/>
      <c r="P29" s="177">
        <f>[2]Balanco!$F$27</f>
        <v>352314.36</v>
      </c>
      <c r="Q29" s="177">
        <f>[1]Balanco!$F$27</f>
        <v>343653.82999999996</v>
      </c>
      <c r="R29" s="177"/>
      <c r="S29" s="177"/>
      <c r="W29" s="144"/>
    </row>
    <row r="30" spans="2:23" x14ac:dyDescent="0.25">
      <c r="B30" s="5" t="s">
        <v>381</v>
      </c>
      <c r="F30" s="163">
        <f>Balancete!M158</f>
        <v>1232517.83</v>
      </c>
      <c r="H30" s="5" t="s">
        <v>415</v>
      </c>
      <c r="M30" s="163">
        <f>SUM(Balancete!M197)</f>
        <v>2937858.49</v>
      </c>
      <c r="P30" s="144">
        <f>F31-P29</f>
        <v>889169.37</v>
      </c>
      <c r="Q30" s="177">
        <f>P29-Q29</f>
        <v>8660.5300000000279</v>
      </c>
    </row>
    <row r="31" spans="2:23" x14ac:dyDescent="0.25">
      <c r="C31" s="13" t="s">
        <v>384</v>
      </c>
      <c r="D31" s="13"/>
      <c r="E31" s="13"/>
      <c r="F31" s="164">
        <f>F30+F28+F29</f>
        <v>1241483.73</v>
      </c>
      <c r="I31" s="13" t="s">
        <v>385</v>
      </c>
      <c r="J31" s="13"/>
      <c r="K31" s="13"/>
      <c r="M31" s="164">
        <f>M29+M28+M30</f>
        <v>8199793.6499999994</v>
      </c>
      <c r="Q31" s="177">
        <f>F24-[2]Balanco!$F$20</f>
        <v>5421925.46</v>
      </c>
    </row>
    <row r="32" spans="2:23" x14ac:dyDescent="0.25">
      <c r="F32" s="163"/>
      <c r="M32" s="163">
        <f>Balancete!M200-Balanco!M31</f>
        <v>0</v>
      </c>
      <c r="Q32" s="177">
        <v>-100213</v>
      </c>
    </row>
    <row r="33" spans="1:24" x14ac:dyDescent="0.25">
      <c r="F33" s="163"/>
      <c r="M33" s="163"/>
      <c r="Q33" s="177">
        <v>-161562</v>
      </c>
    </row>
    <row r="34" spans="1:24" ht="13.8" thickBot="1" x14ac:dyDescent="0.3">
      <c r="B34" s="13" t="s">
        <v>70</v>
      </c>
      <c r="F34" s="165">
        <f>F31+F24</f>
        <v>8892085.6199999992</v>
      </c>
      <c r="H34" s="13" t="s">
        <v>88</v>
      </c>
      <c r="M34" s="165">
        <f>M31+M24</f>
        <v>8892085.6199999992</v>
      </c>
      <c r="Q34" s="177">
        <f>Q33-Q32</f>
        <v>-61349</v>
      </c>
      <c r="S34" s="178">
        <f>[2]Balanco!$M$30</f>
        <v>2580990.79</v>
      </c>
      <c r="U34" s="144">
        <f>-M34+F34</f>
        <v>0</v>
      </c>
    </row>
    <row r="35" spans="1:24" ht="31.5" customHeight="1" thickTop="1" x14ac:dyDescent="0.25">
      <c r="F35" s="76">
        <f>F34-Balancete!M162</f>
        <v>0</v>
      </c>
      <c r="M35" s="163">
        <f>M34-Balancete!M202</f>
        <v>0</v>
      </c>
      <c r="O35" s="142">
        <f>SUM(Balancete!D145:D154)</f>
        <v>0</v>
      </c>
      <c r="P35" s="142">
        <f>SUM('[2]Balancete 2018 '!$H$60:$H$69)</f>
        <v>606711.89</v>
      </c>
      <c r="Q35" s="177"/>
      <c r="S35" s="144">
        <f>S34-M34</f>
        <v>-6311094.8299999991</v>
      </c>
    </row>
    <row r="36" spans="1:24" s="78" customFormat="1" ht="37.5" customHeight="1" x14ac:dyDescent="0.2">
      <c r="C36" s="388" t="s">
        <v>386</v>
      </c>
      <c r="D36" s="388"/>
      <c r="E36" s="388"/>
      <c r="F36" s="388"/>
      <c r="G36" s="388"/>
      <c r="H36" s="388"/>
      <c r="I36" s="388"/>
      <c r="J36" s="388"/>
      <c r="K36" s="388"/>
      <c r="L36" s="388"/>
      <c r="M36" s="388"/>
      <c r="N36" s="179"/>
      <c r="O36" s="179"/>
      <c r="P36" s="179">
        <f>O35-P35</f>
        <v>-606711.89</v>
      </c>
      <c r="Q36" s="179"/>
      <c r="R36" s="179"/>
      <c r="S36" s="179"/>
      <c r="T36" s="179"/>
      <c r="U36" s="179"/>
      <c r="V36" s="179"/>
      <c r="W36" s="179"/>
      <c r="X36" s="179"/>
    </row>
    <row r="37" spans="1:24" ht="6" customHeight="1" x14ac:dyDescent="0.25">
      <c r="F37" s="76"/>
      <c r="M37" s="76"/>
    </row>
    <row r="38" spans="1:24" ht="6" customHeight="1" x14ac:dyDescent="0.25">
      <c r="F38" s="76"/>
      <c r="M38" s="76"/>
    </row>
    <row r="39" spans="1:24" ht="6" customHeight="1" x14ac:dyDescent="0.25">
      <c r="F39" s="76"/>
      <c r="M39" s="76"/>
    </row>
    <row r="40" spans="1:24" ht="6" customHeight="1" x14ac:dyDescent="0.25">
      <c r="F40" s="76"/>
      <c r="M40" s="76"/>
    </row>
    <row r="41" spans="1:24" ht="6" customHeight="1" x14ac:dyDescent="0.25">
      <c r="F41" s="76"/>
      <c r="M41" s="76"/>
    </row>
    <row r="42" spans="1:24" x14ac:dyDescent="0.25">
      <c r="A42" s="5"/>
      <c r="F42" s="76"/>
      <c r="M42" s="76"/>
      <c r="P42" s="142">
        <v>26939</v>
      </c>
    </row>
    <row r="43" spans="1:24" x14ac:dyDescent="0.25">
      <c r="F43" s="76"/>
      <c r="M43" s="76"/>
      <c r="P43" s="142">
        <v>-161562</v>
      </c>
    </row>
    <row r="44" spans="1:24" x14ac:dyDescent="0.25">
      <c r="F44" s="76"/>
      <c r="M44" s="343">
        <v>45291</v>
      </c>
      <c r="U44" s="343">
        <v>45657</v>
      </c>
    </row>
    <row r="45" spans="1:24" x14ac:dyDescent="0.25">
      <c r="F45" s="76"/>
      <c r="H45" s="5" t="s">
        <v>372</v>
      </c>
      <c r="M45" s="163">
        <f>[3]Balanco!M18</f>
        <v>83372.3</v>
      </c>
      <c r="U45" s="10">
        <f>[4]Balanco!M$18</f>
        <v>5882.4</v>
      </c>
      <c r="V45" s="344">
        <f>U45/M45-1</f>
        <v>-0.92944419189586946</v>
      </c>
    </row>
    <row r="46" spans="1:24" x14ac:dyDescent="0.25">
      <c r="F46" s="76"/>
      <c r="H46" s="5" t="s">
        <v>480</v>
      </c>
      <c r="M46" s="163">
        <f>[3]Balanco!M19</f>
        <v>1392898.4399999985</v>
      </c>
      <c r="U46" s="10">
        <f>[4]Balanco!$M$19</f>
        <v>1277499.0700000003</v>
      </c>
      <c r="V46" s="344">
        <f>U46/M46-1</f>
        <v>-8.2848373353048177E-2</v>
      </c>
    </row>
    <row r="47" spans="1:24" x14ac:dyDescent="0.25">
      <c r="H47" s="5" t="s">
        <v>373</v>
      </c>
      <c r="M47" s="163">
        <f>[3]Balanco!M20</f>
        <v>1004694.8500000001</v>
      </c>
      <c r="U47" s="10">
        <f>[4]Balanco!$M$20</f>
        <v>25308.400000000001</v>
      </c>
      <c r="V47" s="344">
        <f t="shared" ref="V47:V50" si="0">U47/M47-1</f>
        <v>-0.97480986391042013</v>
      </c>
    </row>
    <row r="48" spans="1:24" x14ac:dyDescent="0.25">
      <c r="H48" s="5" t="s">
        <v>374</v>
      </c>
      <c r="M48" s="163">
        <f>[3]Balanco!M21</f>
        <v>0</v>
      </c>
      <c r="U48" s="10">
        <f>[4]Balanco!$M$21</f>
        <v>0</v>
      </c>
      <c r="V48" s="344">
        <v>0</v>
      </c>
    </row>
    <row r="49" spans="7:22" x14ac:dyDescent="0.25">
      <c r="H49" s="5" t="s">
        <v>375</v>
      </c>
      <c r="M49" s="163">
        <f>[3]Balanco!M22</f>
        <v>0</v>
      </c>
      <c r="U49" s="10">
        <f>[4]Balanco!$M$22</f>
        <v>0</v>
      </c>
      <c r="V49" s="344">
        <v>0</v>
      </c>
    </row>
    <row r="50" spans="7:22" x14ac:dyDescent="0.25">
      <c r="H50" s="5" t="s">
        <v>376</v>
      </c>
      <c r="M50" s="163">
        <f>[3]Balanco!M23</f>
        <v>32527.73</v>
      </c>
      <c r="U50" s="10">
        <f>[4]Balanco!$M$23</f>
        <v>0</v>
      </c>
      <c r="V50" s="344">
        <f t="shared" si="0"/>
        <v>-1</v>
      </c>
    </row>
    <row r="51" spans="7:22" x14ac:dyDescent="0.25">
      <c r="H51" s="5" t="s">
        <v>697</v>
      </c>
      <c r="M51" s="334">
        <f>SUM(M45:M50)</f>
        <v>2513493.3199999989</v>
      </c>
      <c r="U51" s="10">
        <f>SUM(U45:U50)</f>
        <v>1308689.8700000001</v>
      </c>
      <c r="V51" s="344">
        <f>U51/M51-1</f>
        <v>-0.47933425579981226</v>
      </c>
    </row>
    <row r="52" spans="7:22" x14ac:dyDescent="0.25">
      <c r="G52" s="79"/>
    </row>
  </sheetData>
  <mergeCells count="4">
    <mergeCell ref="C36:M36"/>
    <mergeCell ref="B3:M3"/>
    <mergeCell ref="B5:M5"/>
    <mergeCell ref="B7:M7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3:Q58"/>
  <sheetViews>
    <sheetView showGridLines="0" topLeftCell="A3" zoomScale="80" zoomScaleNormal="80" workbookViewId="0">
      <selection activeCell="O30" sqref="O30"/>
    </sheetView>
  </sheetViews>
  <sheetFormatPr defaultRowHeight="13.2" x14ac:dyDescent="0.25"/>
  <cols>
    <col min="6" max="6" width="17.5546875" customWidth="1"/>
    <col min="7" max="7" width="15.109375" customWidth="1"/>
    <col min="8" max="8" width="13.88671875" style="180" customWidth="1"/>
    <col min="9" max="9" width="11.88671875" style="180" customWidth="1"/>
    <col min="10" max="10" width="11.88671875" style="180" bestFit="1" customWidth="1"/>
    <col min="11" max="11" width="8.88671875" style="180"/>
    <col min="12" max="13" width="9.109375" style="180"/>
    <col min="14" max="14" width="9.109375" style="189"/>
    <col min="15" max="15" width="11.33203125" style="189" bestFit="1" customWidth="1"/>
    <col min="16" max="16" width="9.109375" style="189"/>
    <col min="17" max="17" width="12.88671875" bestFit="1" customWidth="1"/>
  </cols>
  <sheetData>
    <row r="3" spans="2:17" ht="17.399999999999999" x14ac:dyDescent="0.3">
      <c r="B3" s="44" t="s">
        <v>0</v>
      </c>
      <c r="D3" s="44"/>
      <c r="E3" s="44"/>
      <c r="F3" s="44"/>
      <c r="G3" s="44"/>
      <c r="H3" s="284"/>
      <c r="I3" s="284"/>
      <c r="J3" s="284"/>
      <c r="K3" s="284"/>
      <c r="L3" s="284"/>
    </row>
    <row r="5" spans="2:17" x14ac:dyDescent="0.25">
      <c r="F5" s="5" t="s">
        <v>366</v>
      </c>
    </row>
    <row r="6" spans="2:17" x14ac:dyDescent="0.25">
      <c r="P6" s="142"/>
    </row>
    <row r="7" spans="2:17" ht="13.8" x14ac:dyDescent="0.25">
      <c r="C7" s="45" t="s">
        <v>704</v>
      </c>
      <c r="E7" s="45"/>
      <c r="F7" s="45"/>
      <c r="G7" s="45"/>
      <c r="H7" s="285"/>
      <c r="I7" s="285"/>
      <c r="J7" s="285"/>
      <c r="K7" s="285"/>
      <c r="L7" s="285"/>
      <c r="M7" s="142"/>
    </row>
    <row r="8" spans="2:17" x14ac:dyDescent="0.25">
      <c r="L8" s="5"/>
      <c r="M8" s="5"/>
    </row>
    <row r="9" spans="2:17" x14ac:dyDescent="0.25">
      <c r="G9" s="5" t="s">
        <v>367</v>
      </c>
    </row>
    <row r="12" spans="2:17" x14ac:dyDescent="0.25">
      <c r="C12" s="13" t="s">
        <v>387</v>
      </c>
      <c r="Q12" s="5"/>
    </row>
    <row r="13" spans="2:17" x14ac:dyDescent="0.25">
      <c r="C13" s="5" t="s">
        <v>388</v>
      </c>
      <c r="G13" s="76">
        <f>Balancete!C208</f>
        <v>2329578.3200000003</v>
      </c>
      <c r="L13" s="5"/>
      <c r="Q13" s="46"/>
    </row>
    <row r="14" spans="2:17" x14ac:dyDescent="0.25">
      <c r="C14" s="5" t="s">
        <v>389</v>
      </c>
      <c r="G14" s="76">
        <f>Balancete!C209</f>
        <v>1425595.3599999999</v>
      </c>
      <c r="O14" s="5"/>
      <c r="Q14" s="46"/>
    </row>
    <row r="15" spans="2:17" x14ac:dyDescent="0.25">
      <c r="C15" s="5" t="s">
        <v>390</v>
      </c>
      <c r="G15" s="76">
        <f>Balancete!C207</f>
        <v>0</v>
      </c>
      <c r="O15" s="142"/>
      <c r="Q15" s="46"/>
    </row>
    <row r="16" spans="2:17" hidden="1" x14ac:dyDescent="0.25">
      <c r="C16" s="5" t="s">
        <v>391</v>
      </c>
      <c r="G16" s="76">
        <f>Balancete!C234</f>
        <v>0</v>
      </c>
      <c r="Q16" s="46"/>
    </row>
    <row r="17" spans="3:17" hidden="1" x14ac:dyDescent="0.25">
      <c r="C17" s="5" t="s">
        <v>392</v>
      </c>
      <c r="G17" s="76">
        <f>Balancete!C220</f>
        <v>0</v>
      </c>
    </row>
    <row r="18" spans="3:17" x14ac:dyDescent="0.25">
      <c r="C18" s="5" t="s">
        <v>393</v>
      </c>
      <c r="G18" s="76">
        <f>Balancete!C213</f>
        <v>362280.79000000004</v>
      </c>
    </row>
    <row r="19" spans="3:17" x14ac:dyDescent="0.25">
      <c r="C19" s="5" t="s">
        <v>394</v>
      </c>
      <c r="G19" s="76">
        <f>Balancete!C211</f>
        <v>5749.87</v>
      </c>
    </row>
    <row r="20" spans="3:17" x14ac:dyDescent="0.25">
      <c r="C20" s="5" t="s">
        <v>585</v>
      </c>
      <c r="G20" s="76">
        <f>Balancete!C215</f>
        <v>0</v>
      </c>
    </row>
    <row r="21" spans="3:17" x14ac:dyDescent="0.25">
      <c r="C21" s="5" t="s">
        <v>612</v>
      </c>
      <c r="G21" s="76">
        <f>SUM(Balancete!C222)</f>
        <v>0</v>
      </c>
      <c r="Q21" s="189"/>
    </row>
    <row r="22" spans="3:17" x14ac:dyDescent="0.25">
      <c r="C22" s="5" t="s">
        <v>395</v>
      </c>
      <c r="G22" s="76">
        <f>Balancete!C232</f>
        <v>15230.369999999999</v>
      </c>
      <c r="H22" s="180" t="s">
        <v>71</v>
      </c>
      <c r="O22" s="142"/>
    </row>
    <row r="23" spans="3:17" x14ac:dyDescent="0.25">
      <c r="C23" s="5" t="s">
        <v>396</v>
      </c>
      <c r="G23" s="76">
        <f>Balancete!C233</f>
        <v>15512.86</v>
      </c>
    </row>
    <row r="24" spans="3:17" x14ac:dyDescent="0.25">
      <c r="C24" s="5" t="s">
        <v>397</v>
      </c>
      <c r="G24" s="76">
        <f>Balancete!C230+Balancete!C231</f>
        <v>62810.76</v>
      </c>
    </row>
    <row r="25" spans="3:17" x14ac:dyDescent="0.25">
      <c r="C25" s="211" t="s">
        <v>102</v>
      </c>
      <c r="G25" s="76">
        <f>SUM(Balancete!C217)</f>
        <v>0</v>
      </c>
    </row>
    <row r="26" spans="3:17" x14ac:dyDescent="0.25">
      <c r="C26" s="5" t="s">
        <v>465</v>
      </c>
      <c r="G26" s="76">
        <f>Balancete!C210</f>
        <v>44287.45</v>
      </c>
      <c r="J26" s="286"/>
      <c r="Q26" s="189"/>
    </row>
    <row r="27" spans="3:17" hidden="1" x14ac:dyDescent="0.25">
      <c r="C27" s="5" t="s">
        <v>398</v>
      </c>
      <c r="G27" s="76">
        <f>Balancete!C225</f>
        <v>0</v>
      </c>
      <c r="J27" s="294"/>
    </row>
    <row r="28" spans="3:17" x14ac:dyDescent="0.25">
      <c r="C28" s="5" t="s">
        <v>420</v>
      </c>
      <c r="G28" s="76">
        <f>Balancete!C224</f>
        <v>800.02</v>
      </c>
      <c r="H28" s="286"/>
    </row>
    <row r="29" spans="3:17" hidden="1" x14ac:dyDescent="0.25">
      <c r="C29" s="5" t="s">
        <v>399</v>
      </c>
      <c r="G29" s="76">
        <f>Balancete!C214</f>
        <v>0</v>
      </c>
    </row>
    <row r="30" spans="3:17" x14ac:dyDescent="0.25">
      <c r="C30" s="5" t="s">
        <v>400</v>
      </c>
      <c r="G30" s="76">
        <f>Balancete!C216</f>
        <v>2160</v>
      </c>
    </row>
    <row r="31" spans="3:17" x14ac:dyDescent="0.25">
      <c r="C31" s="5" t="s">
        <v>628</v>
      </c>
      <c r="G31" s="76">
        <f>SUM(Balancete!E228)</f>
        <v>0</v>
      </c>
    </row>
    <row r="32" spans="3:17" x14ac:dyDescent="0.25">
      <c r="C32" s="5" t="s">
        <v>401</v>
      </c>
      <c r="F32" s="47"/>
      <c r="G32" s="124">
        <f>Balancete!C223+Balancete!C212+Balancete!C227+Balancete!C229</f>
        <v>0</v>
      </c>
    </row>
    <row r="33" spans="3:15" x14ac:dyDescent="0.25">
      <c r="G33" s="125">
        <f>SUM(G13:G32)</f>
        <v>4264005.8</v>
      </c>
      <c r="H33" s="286">
        <f>G33-Balancete!C235</f>
        <v>0</v>
      </c>
    </row>
    <row r="34" spans="3:15" x14ac:dyDescent="0.25">
      <c r="G34" s="76"/>
    </row>
    <row r="35" spans="3:15" x14ac:dyDescent="0.25">
      <c r="C35" s="13" t="s">
        <v>402</v>
      </c>
      <c r="G35" s="76"/>
    </row>
    <row r="36" spans="3:15" hidden="1" x14ac:dyDescent="0.25">
      <c r="C36" s="5" t="s">
        <v>403</v>
      </c>
      <c r="G36" s="76">
        <f>Balancete!C243</f>
        <v>0</v>
      </c>
      <c r="H36" s="287" t="s">
        <v>404</v>
      </c>
    </row>
    <row r="37" spans="3:15" x14ac:dyDescent="0.25">
      <c r="C37" s="5" t="s">
        <v>405</v>
      </c>
      <c r="G37" s="76">
        <f>Balancete!C247+Balancete!C249+Balancete!C251+Balancete!C253+Balancete!C255+Balancete!C245</f>
        <v>2323283.83</v>
      </c>
      <c r="H37" s="288">
        <f>G13-G37</f>
        <v>6294.4900000002235</v>
      </c>
      <c r="I37" s="288">
        <f>H37-SUM('Provisão Piva e CPB'!C6:N6)</f>
        <v>2.2373569663614035E-10</v>
      </c>
      <c r="J37" s="286"/>
    </row>
    <row r="38" spans="3:15" x14ac:dyDescent="0.25">
      <c r="C38" s="5" t="s">
        <v>406</v>
      </c>
      <c r="G38" s="76">
        <f>Balancete!C257</f>
        <v>1425595.3599999999</v>
      </c>
      <c r="H38" s="288">
        <f>G14-G38</f>
        <v>0</v>
      </c>
      <c r="I38" s="288">
        <f>H38-SUM('Provisão Piva e CPB'!C15:N15)</f>
        <v>0</v>
      </c>
      <c r="J38" s="288">
        <f>SUM(I37:I39)</f>
        <v>2.2373569663614035E-10</v>
      </c>
    </row>
    <row r="39" spans="3:15" hidden="1" x14ac:dyDescent="0.25">
      <c r="C39" s="5" t="s">
        <v>407</v>
      </c>
      <c r="G39" s="76">
        <v>0</v>
      </c>
      <c r="I39" s="288"/>
    </row>
    <row r="40" spans="3:15" x14ac:dyDescent="0.25">
      <c r="C40" s="5" t="s">
        <v>408</v>
      </c>
      <c r="G40" s="76">
        <f>Balancete!C241</f>
        <v>0</v>
      </c>
      <c r="H40" s="288">
        <f>G40-G15</f>
        <v>0</v>
      </c>
    </row>
    <row r="41" spans="3:15" x14ac:dyDescent="0.25">
      <c r="C41" s="211" t="s">
        <v>527</v>
      </c>
      <c r="G41" s="76">
        <f>SUM(Balancete!C479)</f>
        <v>44287.45</v>
      </c>
      <c r="H41" s="288"/>
    </row>
    <row r="42" spans="3:15" x14ac:dyDescent="0.25">
      <c r="C42" s="5" t="s">
        <v>409</v>
      </c>
      <c r="G42" s="76">
        <f>Balancete!C261</f>
        <v>0</v>
      </c>
      <c r="H42" s="288">
        <f>G42-G20</f>
        <v>0</v>
      </c>
      <c r="J42" s="286"/>
    </row>
    <row r="43" spans="3:15" x14ac:dyDescent="0.25">
      <c r="C43" s="5" t="s">
        <v>410</v>
      </c>
      <c r="G43" s="76">
        <f>Balancete!C263</f>
        <v>105638</v>
      </c>
      <c r="O43" s="259"/>
    </row>
    <row r="44" spans="3:15" x14ac:dyDescent="0.25">
      <c r="C44" s="211" t="s">
        <v>623</v>
      </c>
      <c r="G44" s="76">
        <f>(Balancete!C265)</f>
        <v>592192.1399999999</v>
      </c>
    </row>
    <row r="45" spans="3:15" x14ac:dyDescent="0.25">
      <c r="C45" s="5" t="s">
        <v>411</v>
      </c>
      <c r="G45" s="76">
        <f>Balancete!C267</f>
        <v>15000</v>
      </c>
      <c r="J45" s="286"/>
      <c r="O45" s="259"/>
    </row>
    <row r="46" spans="3:15" x14ac:dyDescent="0.25">
      <c r="C46" s="5" t="s">
        <v>412</v>
      </c>
      <c r="G46" s="76">
        <f>Balancete!C269</f>
        <v>13760.97</v>
      </c>
    </row>
    <row r="47" spans="3:15" x14ac:dyDescent="0.25">
      <c r="C47" s="5" t="s">
        <v>413</v>
      </c>
      <c r="G47" s="158">
        <f>Balancete!C271</f>
        <v>443736.19999999995</v>
      </c>
      <c r="H47" s="286"/>
    </row>
    <row r="48" spans="3:15" x14ac:dyDescent="0.25">
      <c r="C48" s="211" t="s">
        <v>545</v>
      </c>
      <c r="F48" s="47"/>
      <c r="G48" s="124">
        <f>Balancete!C273</f>
        <v>0</v>
      </c>
      <c r="H48" s="286">
        <f>G49-Balancete!C275</f>
        <v>0</v>
      </c>
    </row>
    <row r="49" spans="3:8" x14ac:dyDescent="0.25">
      <c r="G49" s="125">
        <f>SUM(G36:G48)</f>
        <v>4963493.95</v>
      </c>
    </row>
    <row r="50" spans="3:8" x14ac:dyDescent="0.25">
      <c r="F50" s="47"/>
      <c r="G50" s="124"/>
    </row>
    <row r="51" spans="3:8" x14ac:dyDescent="0.25">
      <c r="C51" s="13" t="str">
        <f>IF(G51&gt;=0,"SUPERÁVIT DO PERÍODO","DÉFICIT DO PERÍODO")</f>
        <v>DÉFICIT DO PERÍODO</v>
      </c>
      <c r="F51" s="48"/>
      <c r="G51" s="199">
        <f>G33-G49</f>
        <v>-699488.15000000037</v>
      </c>
      <c r="H51" s="286">
        <f>G51-Balancete!C278</f>
        <v>-9.3132257461547852E-10</v>
      </c>
    </row>
    <row r="52" spans="3:8" x14ac:dyDescent="0.25">
      <c r="G52" s="76"/>
    </row>
    <row r="53" spans="3:8" x14ac:dyDescent="0.25">
      <c r="G53" s="76"/>
    </row>
    <row r="54" spans="3:8" x14ac:dyDescent="0.25">
      <c r="G54" s="76"/>
    </row>
    <row r="55" spans="3:8" x14ac:dyDescent="0.25">
      <c r="C55" t="s">
        <v>71</v>
      </c>
      <c r="G55" s="76"/>
    </row>
    <row r="56" spans="3:8" x14ac:dyDescent="0.25">
      <c r="C56" t="s">
        <v>71</v>
      </c>
      <c r="G56" s="76"/>
    </row>
    <row r="57" spans="3:8" x14ac:dyDescent="0.25">
      <c r="C57" t="s">
        <v>71</v>
      </c>
      <c r="G57" s="76"/>
    </row>
    <row r="58" spans="3:8" x14ac:dyDescent="0.25">
      <c r="C58" t="s">
        <v>71</v>
      </c>
      <c r="G58" s="76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E7D622-FB34-48EC-B417-63606CE01ED8}">
  <sheetPr>
    <pageSetUpPr fitToPage="1"/>
  </sheetPr>
  <dimension ref="B1:O78"/>
  <sheetViews>
    <sheetView showGridLines="0" topLeftCell="A3" zoomScale="85" zoomScaleNormal="85" workbookViewId="0">
      <pane xSplit="2" ySplit="6" topLeftCell="C54" activePane="bottomRight" state="frozen"/>
      <selection activeCell="A3" sqref="A3"/>
      <selection pane="topRight" activeCell="C3" sqref="C3"/>
      <selection pane="bottomLeft" activeCell="A9" sqref="A9"/>
      <selection pane="bottomRight" activeCell="I90" sqref="I90"/>
    </sheetView>
  </sheetViews>
  <sheetFormatPr defaultRowHeight="13.2" x14ac:dyDescent="0.25"/>
  <cols>
    <col min="1" max="1" width="1.44140625" customWidth="1"/>
    <col min="2" max="2" width="47.44140625" bestFit="1" customWidth="1"/>
    <col min="3" max="3" width="14.44140625" bestFit="1" customWidth="1"/>
    <col min="4" max="5" width="13.44140625" bestFit="1" customWidth="1"/>
    <col min="6" max="6" width="11.6640625" bestFit="1" customWidth="1"/>
    <col min="7" max="7" width="12.6640625" bestFit="1" customWidth="1"/>
    <col min="8" max="8" width="13.44140625" bestFit="1" customWidth="1"/>
    <col min="9" max="12" width="11.6640625" bestFit="1" customWidth="1"/>
    <col min="13" max="13" width="13.44140625" bestFit="1" customWidth="1"/>
    <col min="14" max="14" width="13.33203125" bestFit="1" customWidth="1"/>
    <col min="15" max="15" width="13.44140625" bestFit="1" customWidth="1"/>
    <col min="16" max="16" width="1.44140625" customWidth="1"/>
  </cols>
  <sheetData>
    <row r="1" spans="2:15" ht="17.399999999999999" x14ac:dyDescent="0.3">
      <c r="B1" s="389" t="s">
        <v>0</v>
      </c>
      <c r="C1" s="389"/>
      <c r="D1" s="389"/>
      <c r="E1" s="389"/>
      <c r="F1" s="389"/>
      <c r="G1" s="389"/>
      <c r="H1" s="389"/>
      <c r="I1" s="389"/>
      <c r="J1" s="389"/>
      <c r="K1" s="389"/>
      <c r="L1" s="389"/>
      <c r="M1" s="389"/>
      <c r="N1" s="389"/>
      <c r="O1" s="389"/>
    </row>
    <row r="2" spans="2:15" x14ac:dyDescent="0.25">
      <c r="B2" s="390" t="s">
        <v>366</v>
      </c>
      <c r="C2" s="390"/>
      <c r="D2" s="390"/>
      <c r="E2" s="390"/>
      <c r="F2" s="390"/>
      <c r="G2" s="390"/>
      <c r="H2" s="390"/>
      <c r="I2" s="390"/>
      <c r="J2" s="390"/>
      <c r="K2" s="390"/>
      <c r="L2" s="390"/>
      <c r="M2" s="390"/>
      <c r="N2" s="390"/>
      <c r="O2" s="390"/>
    </row>
    <row r="4" spans="2:15" ht="13.8" x14ac:dyDescent="0.25">
      <c r="B4" s="391" t="s">
        <v>705</v>
      </c>
      <c r="C4" s="391"/>
      <c r="D4" s="391"/>
      <c r="E4" s="391"/>
      <c r="F4" s="391"/>
      <c r="G4" s="391"/>
      <c r="H4" s="391"/>
      <c r="I4" s="391"/>
      <c r="J4" s="391"/>
      <c r="K4" s="391"/>
      <c r="L4" s="391"/>
      <c r="M4" s="391"/>
      <c r="N4" s="391"/>
      <c r="O4" s="391"/>
    </row>
    <row r="6" spans="2:15" x14ac:dyDescent="0.25">
      <c r="F6" s="5"/>
      <c r="O6" s="5" t="s">
        <v>367</v>
      </c>
    </row>
    <row r="8" spans="2:15" ht="13.8" x14ac:dyDescent="0.3">
      <c r="B8" s="296" t="s">
        <v>630</v>
      </c>
      <c r="C8" s="303">
        <v>2025</v>
      </c>
      <c r="D8" s="304">
        <v>46022</v>
      </c>
      <c r="E8" s="304">
        <v>45991</v>
      </c>
      <c r="F8" s="304">
        <v>45961</v>
      </c>
      <c r="G8" s="304">
        <v>45930</v>
      </c>
      <c r="H8" s="304">
        <v>45900</v>
      </c>
      <c r="I8" s="304">
        <v>45869</v>
      </c>
      <c r="J8" s="304">
        <v>45838</v>
      </c>
      <c r="K8" s="304">
        <v>45808</v>
      </c>
      <c r="L8" s="304">
        <v>45777</v>
      </c>
      <c r="M8" s="304">
        <v>45747</v>
      </c>
      <c r="N8" s="304">
        <v>45716</v>
      </c>
      <c r="O8" s="304">
        <v>45688</v>
      </c>
    </row>
    <row r="9" spans="2:15" ht="13.8" x14ac:dyDescent="0.3">
      <c r="B9" s="297" t="s">
        <v>631</v>
      </c>
      <c r="C9" s="335">
        <f>SUM(D9:O9)</f>
        <v>2329578.3200000003</v>
      </c>
      <c r="D9" s="335">
        <f>Balancete!D208</f>
        <v>0</v>
      </c>
      <c r="E9" s="335">
        <f>Balancete!E208</f>
        <v>0</v>
      </c>
      <c r="F9" s="335">
        <f>Balancete!F208</f>
        <v>0</v>
      </c>
      <c r="G9" s="335">
        <f>Balancete!G208</f>
        <v>0</v>
      </c>
      <c r="H9" s="335">
        <f>Balancete!H208</f>
        <v>0</v>
      </c>
      <c r="I9" s="335">
        <f>Balancete!I208</f>
        <v>0</v>
      </c>
      <c r="J9" s="335">
        <f>Balancete!J208</f>
        <v>0</v>
      </c>
      <c r="K9" s="335">
        <f>Balancete!K208</f>
        <v>0</v>
      </c>
      <c r="L9" s="335">
        <f>Balancete!L208</f>
        <v>0</v>
      </c>
      <c r="M9" s="335">
        <f>Balancete!M208</f>
        <v>462747.03</v>
      </c>
      <c r="N9" s="335">
        <f>Balancete!N208</f>
        <v>645930.97</v>
      </c>
      <c r="O9" s="335">
        <f>Balancete!O208</f>
        <v>1220900.32</v>
      </c>
    </row>
    <row r="10" spans="2:15" ht="13.8" x14ac:dyDescent="0.3">
      <c r="B10" s="297" t="s">
        <v>632</v>
      </c>
      <c r="C10" s="335">
        <f t="shared" ref="C10:C26" si="0">SUM(D10:O10)</f>
        <v>1425595.3599999999</v>
      </c>
      <c r="D10" s="335">
        <f>Balancete!D209</f>
        <v>0</v>
      </c>
      <c r="E10" s="335">
        <f>Balancete!E209</f>
        <v>0</v>
      </c>
      <c r="F10" s="335">
        <f>Balancete!F209</f>
        <v>0</v>
      </c>
      <c r="G10" s="335">
        <f>Balancete!G209</f>
        <v>0</v>
      </c>
      <c r="H10" s="335">
        <f>Balancete!H209</f>
        <v>0</v>
      </c>
      <c r="I10" s="335">
        <f>Balancete!I209</f>
        <v>0</v>
      </c>
      <c r="J10" s="335">
        <f>Balancete!J209</f>
        <v>0</v>
      </c>
      <c r="K10" s="335">
        <f>Balancete!K209</f>
        <v>0</v>
      </c>
      <c r="L10" s="335">
        <f>Balancete!L209</f>
        <v>0</v>
      </c>
      <c r="M10" s="335">
        <f>Balancete!M209</f>
        <v>166704.35</v>
      </c>
      <c r="N10" s="335">
        <f>Balancete!N209</f>
        <v>503540.97</v>
      </c>
      <c r="O10" s="335">
        <f>Balancete!O209</f>
        <v>755350.04</v>
      </c>
    </row>
    <row r="11" spans="2:15" ht="13.8" x14ac:dyDescent="0.3">
      <c r="B11" s="297" t="s">
        <v>633</v>
      </c>
      <c r="C11" s="335">
        <f t="shared" si="0"/>
        <v>0</v>
      </c>
      <c r="D11" s="335">
        <v>0</v>
      </c>
      <c r="E11" s="335">
        <v>0</v>
      </c>
      <c r="F11" s="335">
        <v>0</v>
      </c>
      <c r="G11" s="335">
        <v>0</v>
      </c>
      <c r="H11" s="335">
        <v>0</v>
      </c>
      <c r="I11" s="335">
        <v>0</v>
      </c>
      <c r="J11" s="335">
        <v>0</v>
      </c>
      <c r="K11" s="335">
        <v>0</v>
      </c>
      <c r="L11" s="335">
        <v>0</v>
      </c>
      <c r="M11" s="335">
        <v>0</v>
      </c>
      <c r="N11" s="335">
        <v>0</v>
      </c>
      <c r="O11" s="335">
        <v>0</v>
      </c>
    </row>
    <row r="12" spans="2:15" ht="13.8" x14ac:dyDescent="0.3">
      <c r="B12" s="297" t="s">
        <v>634</v>
      </c>
      <c r="C12" s="335">
        <f t="shared" si="0"/>
        <v>0</v>
      </c>
      <c r="D12" s="335">
        <v>0</v>
      </c>
      <c r="E12" s="335">
        <v>0</v>
      </c>
      <c r="F12" s="335">
        <v>0</v>
      </c>
      <c r="G12" s="335">
        <v>0</v>
      </c>
      <c r="H12" s="335">
        <v>0</v>
      </c>
      <c r="I12" s="335">
        <v>0</v>
      </c>
      <c r="J12" s="335">
        <v>0</v>
      </c>
      <c r="K12" s="335">
        <v>0</v>
      </c>
      <c r="L12" s="335">
        <v>0</v>
      </c>
      <c r="M12" s="335">
        <v>0</v>
      </c>
      <c r="N12" s="335">
        <v>0</v>
      </c>
      <c r="O12" s="335">
        <v>0</v>
      </c>
    </row>
    <row r="13" spans="2:15" ht="13.8" x14ac:dyDescent="0.3">
      <c r="B13" s="297" t="s">
        <v>635</v>
      </c>
      <c r="C13" s="335">
        <f t="shared" si="0"/>
        <v>0</v>
      </c>
      <c r="D13" s="335">
        <f>Balancete!D222</f>
        <v>0</v>
      </c>
      <c r="E13" s="335">
        <f>Balancete!E222</f>
        <v>0</v>
      </c>
      <c r="F13" s="335">
        <f>Balancete!F222</f>
        <v>0</v>
      </c>
      <c r="G13" s="335">
        <f>Balancete!G222</f>
        <v>0</v>
      </c>
      <c r="H13" s="335">
        <f>Balancete!H222</f>
        <v>0</v>
      </c>
      <c r="I13" s="335">
        <f>Balancete!I222</f>
        <v>0</v>
      </c>
      <c r="J13" s="335">
        <f>Balancete!J222</f>
        <v>0</v>
      </c>
      <c r="K13" s="335">
        <f>Balancete!K222</f>
        <v>0</v>
      </c>
      <c r="L13" s="335">
        <f>Balancete!L222</f>
        <v>0</v>
      </c>
      <c r="M13" s="335">
        <f>Balancete!M222</f>
        <v>0</v>
      </c>
      <c r="N13" s="335">
        <f>Balancete!N222</f>
        <v>0</v>
      </c>
      <c r="O13" s="335">
        <f>Balancete!O222</f>
        <v>0</v>
      </c>
    </row>
    <row r="14" spans="2:15" ht="13.8" x14ac:dyDescent="0.3">
      <c r="B14" s="297" t="s">
        <v>636</v>
      </c>
      <c r="C14" s="335">
        <f t="shared" si="0"/>
        <v>0</v>
      </c>
      <c r="D14" s="335">
        <v>0</v>
      </c>
      <c r="E14" s="335">
        <v>0</v>
      </c>
      <c r="F14" s="335">
        <v>0</v>
      </c>
      <c r="G14" s="335">
        <v>0</v>
      </c>
      <c r="H14" s="335">
        <v>0</v>
      </c>
      <c r="I14" s="335">
        <v>0</v>
      </c>
      <c r="J14" s="335">
        <v>0</v>
      </c>
      <c r="K14" s="335">
        <v>0</v>
      </c>
      <c r="L14" s="335">
        <v>0</v>
      </c>
      <c r="M14" s="335">
        <v>0</v>
      </c>
      <c r="N14" s="335">
        <v>0</v>
      </c>
      <c r="O14" s="335">
        <v>0</v>
      </c>
    </row>
    <row r="15" spans="2:15" ht="13.8" x14ac:dyDescent="0.3">
      <c r="B15" s="297" t="s">
        <v>637</v>
      </c>
      <c r="C15" s="335">
        <f t="shared" si="0"/>
        <v>2160</v>
      </c>
      <c r="D15" s="335">
        <f>Balancete!D216+Balancete!D217</f>
        <v>0</v>
      </c>
      <c r="E15" s="335">
        <f>Balancete!E216+Balancete!E217</f>
        <v>0</v>
      </c>
      <c r="F15" s="335">
        <f>Balancete!F216+Balancete!F217</f>
        <v>0</v>
      </c>
      <c r="G15" s="335">
        <f>Balancete!G216+Balancete!G217</f>
        <v>0</v>
      </c>
      <c r="H15" s="335">
        <f>Balancete!H216+Balancete!H217</f>
        <v>0</v>
      </c>
      <c r="I15" s="335">
        <f>Balancete!I216+Balancete!I217</f>
        <v>0</v>
      </c>
      <c r="J15" s="335">
        <f>Balancete!J216+Balancete!J217</f>
        <v>0</v>
      </c>
      <c r="K15" s="335">
        <f>Balancete!K216+Balancete!K217</f>
        <v>0</v>
      </c>
      <c r="L15" s="335">
        <f>Balancete!L216+Balancete!L217</f>
        <v>0</v>
      </c>
      <c r="M15" s="335">
        <f>Balancete!M216+Balancete!M217</f>
        <v>0</v>
      </c>
      <c r="N15" s="335">
        <f>Balancete!N216+Balancete!N217</f>
        <v>950</v>
      </c>
      <c r="O15" s="335">
        <f>Balancete!O216+Balancete!O217</f>
        <v>1210</v>
      </c>
    </row>
    <row r="16" spans="2:15" ht="13.8" x14ac:dyDescent="0.3">
      <c r="B16" s="297" t="s">
        <v>638</v>
      </c>
      <c r="C16" s="335">
        <f t="shared" si="0"/>
        <v>800.02</v>
      </c>
      <c r="D16" s="335">
        <f>Balancete!D224</f>
        <v>0</v>
      </c>
      <c r="E16" s="335">
        <f>Balancete!E224</f>
        <v>0</v>
      </c>
      <c r="F16" s="335">
        <f>Balancete!F224</f>
        <v>0</v>
      </c>
      <c r="G16" s="335">
        <f>Balancete!G224</f>
        <v>0</v>
      </c>
      <c r="H16" s="335">
        <f>Balancete!H224</f>
        <v>0</v>
      </c>
      <c r="I16" s="335">
        <f>Balancete!I224</f>
        <v>0</v>
      </c>
      <c r="J16" s="335">
        <f>Balancete!J224</f>
        <v>0</v>
      </c>
      <c r="K16" s="335">
        <f>Balancete!K224</f>
        <v>0</v>
      </c>
      <c r="L16" s="335">
        <f>Balancete!L224</f>
        <v>0</v>
      </c>
      <c r="M16" s="335">
        <f>Balancete!M224</f>
        <v>522.92999999999995</v>
      </c>
      <c r="N16" s="335">
        <f>Balancete!N224</f>
        <v>0</v>
      </c>
      <c r="O16" s="335">
        <f>Balancete!O224</f>
        <v>277.08999999999997</v>
      </c>
    </row>
    <row r="17" spans="2:15" ht="13.8" x14ac:dyDescent="0.3">
      <c r="B17" s="297" t="s">
        <v>639</v>
      </c>
      <c r="C17" s="335">
        <f t="shared" si="0"/>
        <v>0</v>
      </c>
      <c r="D17" s="335">
        <v>0</v>
      </c>
      <c r="E17" s="335">
        <v>0</v>
      </c>
      <c r="F17" s="335">
        <v>0</v>
      </c>
      <c r="G17" s="335">
        <v>0</v>
      </c>
      <c r="H17" s="335">
        <v>0</v>
      </c>
      <c r="I17" s="335">
        <v>0</v>
      </c>
      <c r="J17" s="335">
        <v>0</v>
      </c>
      <c r="K17" s="335">
        <v>0</v>
      </c>
      <c r="L17" s="335">
        <v>0</v>
      </c>
      <c r="M17" s="335">
        <v>0</v>
      </c>
      <c r="N17" s="335">
        <v>0</v>
      </c>
      <c r="O17" s="335">
        <v>0</v>
      </c>
    </row>
    <row r="18" spans="2:15" ht="13.8" x14ac:dyDescent="0.3">
      <c r="B18" s="297" t="s">
        <v>640</v>
      </c>
      <c r="C18" s="335">
        <f t="shared" si="0"/>
        <v>0</v>
      </c>
      <c r="D18" s="335">
        <f>Balancete!D212+Balancete!D215+Balancete!D228</f>
        <v>0</v>
      </c>
      <c r="E18" s="335">
        <f>Balancete!E212+Balancete!E215+Balancete!E228</f>
        <v>0</v>
      </c>
      <c r="F18" s="335">
        <f>Balancete!F212+Balancete!F215+Balancete!F228</f>
        <v>0</v>
      </c>
      <c r="G18" s="335">
        <f>Balancete!G212+Balancete!G215+Balancete!G228</f>
        <v>0</v>
      </c>
      <c r="H18" s="335">
        <f>Balancete!H212+Balancete!H215+Balancete!H228</f>
        <v>0</v>
      </c>
      <c r="I18" s="335">
        <f>Balancete!I212+Balancete!I215+Balancete!I228</f>
        <v>0</v>
      </c>
      <c r="J18" s="335">
        <f>Balancete!J212+Balancete!J215+Balancete!J228</f>
        <v>0</v>
      </c>
      <c r="K18" s="335">
        <f>Balancete!K212+Balancete!K215+Balancete!K228</f>
        <v>0</v>
      </c>
      <c r="L18" s="335">
        <f>Balancete!L212+Balancete!L215+Balancete!L228</f>
        <v>0</v>
      </c>
      <c r="M18" s="335">
        <f>Balancete!M212+Balancete!M215+Balancete!M228</f>
        <v>0</v>
      </c>
      <c r="N18" s="335">
        <f>Balancete!N212+Balancete!N215+Balancete!N228</f>
        <v>0</v>
      </c>
      <c r="O18" s="335">
        <f>Balancete!O212+Balancete!O215+Balancete!O228</f>
        <v>0</v>
      </c>
    </row>
    <row r="19" spans="2:15" ht="13.8" x14ac:dyDescent="0.3">
      <c r="B19" s="297" t="s">
        <v>641</v>
      </c>
      <c r="C19" s="335">
        <f t="shared" si="0"/>
        <v>0</v>
      </c>
      <c r="D19" s="335">
        <v>0</v>
      </c>
      <c r="E19" s="335">
        <v>0</v>
      </c>
      <c r="F19" s="335">
        <v>0</v>
      </c>
      <c r="G19" s="335">
        <v>0</v>
      </c>
      <c r="H19" s="335">
        <v>0</v>
      </c>
      <c r="I19" s="335">
        <v>0</v>
      </c>
      <c r="J19" s="335">
        <v>0</v>
      </c>
      <c r="K19" s="335">
        <v>0</v>
      </c>
      <c r="L19" s="335">
        <v>0</v>
      </c>
      <c r="M19" s="335">
        <v>0</v>
      </c>
      <c r="N19" s="335">
        <v>0</v>
      </c>
      <c r="O19" s="335">
        <v>0</v>
      </c>
    </row>
    <row r="20" spans="2:15" ht="13.8" x14ac:dyDescent="0.3">
      <c r="B20" s="297" t="s">
        <v>642</v>
      </c>
      <c r="C20" s="335">
        <f t="shared" si="0"/>
        <v>0</v>
      </c>
      <c r="D20" s="335">
        <f>SUM(Balancete!D223)</f>
        <v>0</v>
      </c>
      <c r="E20" s="335">
        <f>SUM(Balancete!E223)</f>
        <v>0</v>
      </c>
      <c r="F20" s="335">
        <f>SUM(Balancete!F223)</f>
        <v>0</v>
      </c>
      <c r="G20" s="335">
        <f>SUM(Balancete!G223)</f>
        <v>0</v>
      </c>
      <c r="H20" s="335">
        <f>SUM(Balancete!H223)</f>
        <v>0</v>
      </c>
      <c r="I20" s="335">
        <f>SUM(Balancete!I223)</f>
        <v>0</v>
      </c>
      <c r="J20" s="335">
        <f>SUM(Balancete!J223)</f>
        <v>0</v>
      </c>
      <c r="K20" s="335">
        <f>SUM(Balancete!K223)</f>
        <v>0</v>
      </c>
      <c r="L20" s="335">
        <f>SUM(Balancete!L223)</f>
        <v>0</v>
      </c>
      <c r="M20" s="335">
        <f>SUM(Balancete!M223)</f>
        <v>0</v>
      </c>
      <c r="N20" s="335">
        <f>SUM(Balancete!N223)</f>
        <v>0</v>
      </c>
      <c r="O20" s="335">
        <f>SUM(Balancete!O223)</f>
        <v>0</v>
      </c>
    </row>
    <row r="21" spans="2:15" ht="13.8" x14ac:dyDescent="0.3">
      <c r="B21" s="297" t="s">
        <v>643</v>
      </c>
      <c r="C21" s="335">
        <f t="shared" si="0"/>
        <v>5749.87</v>
      </c>
      <c r="D21" s="335">
        <f>Balancete!D211</f>
        <v>0</v>
      </c>
      <c r="E21" s="335">
        <f>Balancete!E211</f>
        <v>0</v>
      </c>
      <c r="F21" s="335">
        <f>Balancete!F211</f>
        <v>0</v>
      </c>
      <c r="G21" s="335">
        <f>Balancete!G211</f>
        <v>0</v>
      </c>
      <c r="H21" s="335">
        <f>Balancete!H211</f>
        <v>0</v>
      </c>
      <c r="I21" s="335">
        <f>Balancete!I211</f>
        <v>0</v>
      </c>
      <c r="J21" s="335">
        <f>Balancete!J211</f>
        <v>0</v>
      </c>
      <c r="K21" s="335">
        <f>Balancete!K211</f>
        <v>0</v>
      </c>
      <c r="L21" s="335">
        <f>Balancete!L211</f>
        <v>0</v>
      </c>
      <c r="M21" s="335">
        <f>Balancete!M211</f>
        <v>0</v>
      </c>
      <c r="N21" s="335">
        <f>Balancete!N211</f>
        <v>0</v>
      </c>
      <c r="O21" s="335">
        <f>Balancete!O211</f>
        <v>5749.87</v>
      </c>
    </row>
    <row r="22" spans="2:15" ht="13.8" x14ac:dyDescent="0.3">
      <c r="B22" s="297" t="s">
        <v>644</v>
      </c>
      <c r="C22" s="335">
        <f t="shared" si="0"/>
        <v>362280.79000000004</v>
      </c>
      <c r="D22" s="335">
        <f>Balancete!D213</f>
        <v>0</v>
      </c>
      <c r="E22" s="335">
        <f>Balancete!E213</f>
        <v>0</v>
      </c>
      <c r="F22" s="335">
        <f>Balancete!F213</f>
        <v>0</v>
      </c>
      <c r="G22" s="335">
        <f>Balancete!G213</f>
        <v>0</v>
      </c>
      <c r="H22" s="335">
        <f>Balancete!H213</f>
        <v>0</v>
      </c>
      <c r="I22" s="335">
        <f>Balancete!I213</f>
        <v>0</v>
      </c>
      <c r="J22" s="335">
        <f>Balancete!J213</f>
        <v>0</v>
      </c>
      <c r="K22" s="335">
        <f>Balancete!K213</f>
        <v>0</v>
      </c>
      <c r="L22" s="335">
        <f>Balancete!L213</f>
        <v>0</v>
      </c>
      <c r="M22" s="335">
        <f>Balancete!M213</f>
        <v>175959.6</v>
      </c>
      <c r="N22" s="335">
        <f>Balancete!N213</f>
        <v>57504.85</v>
      </c>
      <c r="O22" s="335">
        <f>Balancete!O213</f>
        <v>128816.34</v>
      </c>
    </row>
    <row r="23" spans="2:15" ht="13.8" x14ac:dyDescent="0.3">
      <c r="B23" s="297" t="s">
        <v>645</v>
      </c>
      <c r="C23" s="335">
        <f t="shared" si="0"/>
        <v>0</v>
      </c>
      <c r="D23" s="335">
        <f>Balancete!D214</f>
        <v>0</v>
      </c>
      <c r="E23" s="335">
        <f>Balancete!E214</f>
        <v>0</v>
      </c>
      <c r="F23" s="335">
        <f>Balancete!F214</f>
        <v>0</v>
      </c>
      <c r="G23" s="335">
        <f>Balancete!G214</f>
        <v>0</v>
      </c>
      <c r="H23" s="335">
        <f>Balancete!H214</f>
        <v>0</v>
      </c>
      <c r="I23" s="335">
        <f>Balancete!I214</f>
        <v>0</v>
      </c>
      <c r="J23" s="335">
        <f>Balancete!J214</f>
        <v>0</v>
      </c>
      <c r="K23" s="335">
        <f>Balancete!K214</f>
        <v>0</v>
      </c>
      <c r="L23" s="335">
        <f>Balancete!L214</f>
        <v>0</v>
      </c>
      <c r="M23" s="335">
        <f>Balancete!M214</f>
        <v>0</v>
      </c>
      <c r="N23" s="335">
        <f>Balancete!N214</f>
        <v>0</v>
      </c>
      <c r="O23" s="335">
        <f>Balancete!O214</f>
        <v>0</v>
      </c>
    </row>
    <row r="24" spans="2:15" ht="13.8" x14ac:dyDescent="0.3">
      <c r="B24" s="297" t="s">
        <v>646</v>
      </c>
      <c r="C24" s="335">
        <f t="shared" si="0"/>
        <v>0</v>
      </c>
      <c r="D24" s="335">
        <f>Balancete!D207</f>
        <v>0</v>
      </c>
      <c r="E24" s="335">
        <f>Balancete!E207</f>
        <v>0</v>
      </c>
      <c r="F24" s="335">
        <f>Balancete!F207</f>
        <v>0</v>
      </c>
      <c r="G24" s="335">
        <f>Balancete!G207</f>
        <v>0</v>
      </c>
      <c r="H24" s="335">
        <f>Balancete!H207</f>
        <v>0</v>
      </c>
      <c r="I24" s="335">
        <f>Balancete!I207</f>
        <v>0</v>
      </c>
      <c r="J24" s="335">
        <f>Balancete!J207</f>
        <v>0</v>
      </c>
      <c r="K24" s="335">
        <f>Balancete!K207</f>
        <v>0</v>
      </c>
      <c r="L24" s="335">
        <f>Balancete!L207</f>
        <v>0</v>
      </c>
      <c r="M24" s="335">
        <f>Balancete!M207</f>
        <v>0</v>
      </c>
      <c r="N24" s="335">
        <f>Balancete!N207</f>
        <v>0</v>
      </c>
      <c r="O24" s="335">
        <f>Balancete!O207</f>
        <v>0</v>
      </c>
    </row>
    <row r="25" spans="2:15" ht="13.8" x14ac:dyDescent="0.3">
      <c r="B25" s="297" t="s">
        <v>647</v>
      </c>
      <c r="C25" s="335">
        <f t="shared" si="0"/>
        <v>0</v>
      </c>
      <c r="D25" s="335">
        <v>0</v>
      </c>
      <c r="E25" s="335">
        <v>0</v>
      </c>
      <c r="F25" s="335">
        <v>0</v>
      </c>
      <c r="G25" s="335">
        <v>0</v>
      </c>
      <c r="H25" s="335">
        <v>0</v>
      </c>
      <c r="I25" s="335">
        <v>0</v>
      </c>
      <c r="J25" s="335">
        <v>0</v>
      </c>
      <c r="K25" s="335">
        <v>0</v>
      </c>
      <c r="L25" s="335">
        <v>0</v>
      </c>
      <c r="M25" s="335">
        <v>0</v>
      </c>
      <c r="N25" s="335">
        <v>0</v>
      </c>
      <c r="O25" s="335">
        <v>0</v>
      </c>
    </row>
    <row r="26" spans="2:15" ht="13.8" x14ac:dyDescent="0.3">
      <c r="B26" s="297" t="s">
        <v>648</v>
      </c>
      <c r="C26" s="335">
        <f t="shared" si="0"/>
        <v>0</v>
      </c>
      <c r="D26" s="335">
        <v>0</v>
      </c>
      <c r="E26" s="335">
        <v>0</v>
      </c>
      <c r="F26" s="335">
        <v>0</v>
      </c>
      <c r="G26" s="335">
        <v>0</v>
      </c>
      <c r="H26" s="335">
        <v>0</v>
      </c>
      <c r="I26" s="335">
        <v>0</v>
      </c>
      <c r="J26" s="335">
        <v>0</v>
      </c>
      <c r="K26" s="335">
        <v>0</v>
      </c>
      <c r="L26" s="335">
        <v>0</v>
      </c>
      <c r="M26" s="335">
        <v>0</v>
      </c>
      <c r="N26" s="335">
        <v>0</v>
      </c>
      <c r="O26" s="335">
        <v>0</v>
      </c>
    </row>
    <row r="27" spans="2:15" ht="13.8" x14ac:dyDescent="0.3">
      <c r="B27" s="298" t="s">
        <v>649</v>
      </c>
      <c r="C27" s="336">
        <f>SUM(C9:C26)</f>
        <v>4126164.3600000003</v>
      </c>
      <c r="D27" s="336">
        <f t="shared" ref="D27:O27" si="1">SUM(D9:D26)</f>
        <v>0</v>
      </c>
      <c r="E27" s="336">
        <f t="shared" si="1"/>
        <v>0</v>
      </c>
      <c r="F27" s="336">
        <f t="shared" si="1"/>
        <v>0</v>
      </c>
      <c r="G27" s="336">
        <f t="shared" si="1"/>
        <v>0</v>
      </c>
      <c r="H27" s="336">
        <f t="shared" si="1"/>
        <v>0</v>
      </c>
      <c r="I27" s="336">
        <f t="shared" si="1"/>
        <v>0</v>
      </c>
      <c r="J27" s="336">
        <f t="shared" si="1"/>
        <v>0</v>
      </c>
      <c r="K27" s="336">
        <f t="shared" si="1"/>
        <v>0</v>
      </c>
      <c r="L27" s="336">
        <f t="shared" si="1"/>
        <v>0</v>
      </c>
      <c r="M27" s="336">
        <f t="shared" si="1"/>
        <v>805933.91</v>
      </c>
      <c r="N27" s="336">
        <f t="shared" si="1"/>
        <v>1207926.79</v>
      </c>
      <c r="O27" s="336">
        <f t="shared" si="1"/>
        <v>2112303.66</v>
      </c>
    </row>
    <row r="28" spans="2:15" ht="13.8" x14ac:dyDescent="0.3">
      <c r="B28" s="297"/>
      <c r="C28" s="337"/>
      <c r="D28" s="337"/>
      <c r="E28" s="337"/>
      <c r="F28" s="337"/>
      <c r="G28" s="337"/>
      <c r="H28" s="337"/>
      <c r="I28" s="337"/>
      <c r="J28" s="337"/>
      <c r="K28" s="337"/>
      <c r="L28" s="337"/>
      <c r="M28" s="337"/>
      <c r="N28" s="337"/>
      <c r="O28" s="337"/>
    </row>
    <row r="29" spans="2:15" ht="13.8" x14ac:dyDescent="0.3">
      <c r="B29" s="297" t="s">
        <v>650</v>
      </c>
      <c r="C29" s="335">
        <f t="shared" ref="C29:C49" si="2">SUM(D29:O29)</f>
        <v>-1770238.1199999999</v>
      </c>
      <c r="D29" s="335">
        <f>-SUM(Balancete!D293:D295,Balancete!D298,Balancete!D328,Balancete!D365:D366,Balancete!D369:D373,Balancete!D389:D390,Balancete!D397,Balancete!D400:D401)</f>
        <v>0</v>
      </c>
      <c r="E29" s="335">
        <f>-SUM(Balancete!E293:E295,Balancete!E298,Balancete!E328,Balancete!E365:E366,Balancete!E369:E373,Balancete!E389:E390,Balancete!E397,Balancete!E400:E401)</f>
        <v>0</v>
      </c>
      <c r="F29" s="335">
        <f>-SUM(Balancete!F293:F295,Balancete!F298,Balancete!F328,Balancete!F365:F366,Balancete!F369:F373,Balancete!F389:F390,Balancete!F397,Balancete!F400:F401)</f>
        <v>0</v>
      </c>
      <c r="G29" s="335">
        <f>-SUM(Balancete!G293:G295,Balancete!G298,Balancete!G328,Balancete!G365:G366,Balancete!G369:G373,Balancete!G389:G390,Balancete!G397,Balancete!G400:G401)</f>
        <v>0</v>
      </c>
      <c r="H29" s="335">
        <f>-SUM(Balancete!H293:H295,Balancete!H298,Balancete!H328,Balancete!H365:H366,Balancete!H369:H373,Balancete!H389:H390,Balancete!H397,Balancete!H400:H401)</f>
        <v>0</v>
      </c>
      <c r="I29" s="335">
        <f>-SUM(Balancete!I293:I295,Balancete!I298,Balancete!I328,Balancete!I365:I366,Balancete!I369:I373,Balancete!I389:I390,Balancete!I397,Balancete!I400:I401)</f>
        <v>0</v>
      </c>
      <c r="J29" s="335">
        <f>-SUM(Balancete!J293:J295,Balancete!J298,Balancete!J328,Balancete!J365:J366,Balancete!J369:J373,Balancete!J389:J390,Balancete!J397,Balancete!J400:J401)</f>
        <v>0</v>
      </c>
      <c r="K29" s="335">
        <f>-SUM(Balancete!K293:K295,Balancete!K298,Balancete!K328,Balancete!K365:K366,Balancete!K369:K373,Balancete!K389:K390,Balancete!K397,Balancete!K400:K401)</f>
        <v>0</v>
      </c>
      <c r="L29" s="335">
        <f>-SUM(Balancete!L293:L295,Balancete!L298,Balancete!L328,Balancete!L365:L366,Balancete!L369:L373,Balancete!L389:L390,Balancete!L397,Balancete!L400:L401)</f>
        <v>0</v>
      </c>
      <c r="M29" s="335">
        <f>-SUM(Balancete!M293:M296,Balancete!M298,Balancete!M328,Balancete!M365:M366,Balancete!M369:M373,Balancete!M389:M390,Balancete!M397,Balancete!M400:M401)</f>
        <v>-265269.71999999997</v>
      </c>
      <c r="N29" s="335">
        <f>-SUM(Balancete!N293:N295,Balancete!N298,Balancete!N328,Balancete!N365:N366,Balancete!N369:N373,Balancete!N389:N390,Balancete!N397,Balancete!N400:N401)</f>
        <v>-472818.18</v>
      </c>
      <c r="O29" s="335">
        <f>-SUM(Balancete!O293:O296,Balancete!O298,Balancete!O328,Balancete!O365:O366,Balancete!O369:O373,Balancete!O389:O390,Balancete!O397,Balancete!O400:O401)</f>
        <v>-1032150.22</v>
      </c>
    </row>
    <row r="30" spans="2:15" ht="13.8" x14ac:dyDescent="0.3">
      <c r="B30" s="297" t="s">
        <v>651</v>
      </c>
      <c r="C30" s="335">
        <f t="shared" si="2"/>
        <v>-1189391.8799999999</v>
      </c>
      <c r="D30" s="335">
        <f>-SUM(Balancete!D404:D406,Balancete!D409:D410,Balancete!D413:D414,Balancete!D433:D435,Balancete!D439:D441,Balancete!D444,Balancete!D447,Balancete!D450:D454,Balancete!D462,Balancete!D464:D465,Balancete!D468)</f>
        <v>0</v>
      </c>
      <c r="E30" s="335">
        <f>-SUM(Balancete!E404:E406,Balancete!E409:E410,Balancete!E413:E414,Balancete!E433:E435,Balancete!E439:E441,Balancete!E444,Balancete!E447,Balancete!E450:E454,Balancete!E462,Balancete!E464:E465,Balancete!E468)</f>
        <v>0</v>
      </c>
      <c r="F30" s="335">
        <f>-SUM(Balancete!F404:F406,Balancete!F409:F410,Balancete!F413:F414,Balancete!F433:F435,Balancete!F439:F441,Balancete!F444,Balancete!F447,Balancete!F450:F454,Balancete!F462,Balancete!F464:F465,Balancete!F468)</f>
        <v>0</v>
      </c>
      <c r="G30" s="335">
        <f>-SUM(Balancete!G404:G406,Balancete!G409:G410,Balancete!G413:G414,Balancete!G433:G435,Balancete!G439:G441,Balancete!G444,Balancete!G447,Balancete!G450:G454,Balancete!G462,Balancete!G464:G465,Balancete!G468)</f>
        <v>0</v>
      </c>
      <c r="H30" s="335">
        <f>-SUM(Balancete!H404:H406,Balancete!H409:H410,Balancete!H413:H414,Balancete!H433:H435,Balancete!H439:H441,Balancete!H444,Balancete!H447,Balancete!H450:H454,Balancete!H462,Balancete!H464:H465,Balancete!H468)</f>
        <v>0</v>
      </c>
      <c r="I30" s="335">
        <f>-SUM(Balancete!I404:I406,Balancete!I409:I410,Balancete!I413:I414,Balancete!I433:I435,Balancete!I439:I441,Balancete!I444,Balancete!I447,Balancete!I450:I454,Balancete!I462,Balancete!I464:I465,Balancete!I468)</f>
        <v>0</v>
      </c>
      <c r="J30" s="335">
        <f>-SUM(Balancete!J404:J406,Balancete!J409:J410,Balancete!J413:J414,Balancete!J433:J435,Balancete!J439:J441,Balancete!J444,Balancete!J447,Balancete!J450:J454,Balancete!J462,Balancete!J464:J465,Balancete!J468)</f>
        <v>0</v>
      </c>
      <c r="K30" s="335">
        <f>-SUM(Balancete!K404:K406,Balancete!K409:K410,Balancete!K413:K414,Balancete!K433:K435,Balancete!K439:K441,Balancete!K444,Balancete!K447,Balancete!K450:K454,Balancete!K462,Balancete!K464:K465,Balancete!K468)</f>
        <v>0</v>
      </c>
      <c r="L30" s="335">
        <f>-SUM(Balancete!L404:L406,Balancete!L409:L410,Balancete!L413:L414,Balancete!L433:L435,Balancete!L439:L441,Balancete!L444,Balancete!L447,Balancete!L450:L454,Balancete!L462,Balancete!L464:L465,Balancete!L468)</f>
        <v>0</v>
      </c>
      <c r="M30" s="335">
        <f>-SUM(Balancete!M404:M406,Balancete!M409:M410,Balancete!M413:M414,Balancete!M433:M435,Balancete!M439:M441,Balancete!M444,Balancete!M447,Balancete!M450:M454,Balancete!M462,Balancete!M464:M465,Balancete!M468)</f>
        <v>-87522.02</v>
      </c>
      <c r="N30" s="335">
        <f>-SUM(Balancete!N404:N406,Balancete!N409:N410,Balancete!N413:N414,Balancete!N433:N435,Balancete!N439:N441,Balancete!N444,Balancete!N447,Balancete!N450:N454,Balancete!N462,Balancete!N464:N465,Balancete!N468)</f>
        <v>-418813.5199999999</v>
      </c>
      <c r="O30" s="335">
        <f>-SUM(Balancete!O404:O406,Balancete!O409:O410,Balancete!O413:O414,Balancete!O433:O435,Balancete!O439:O441,Balancete!O444,Balancete!O447,Balancete!O450:O454,Balancete!O462,Balancete!O464:O465,Balancete!O468)</f>
        <v>-683056.34</v>
      </c>
    </row>
    <row r="31" spans="2:15" ht="13.8" x14ac:dyDescent="0.3">
      <c r="B31" s="297" t="s">
        <v>652</v>
      </c>
      <c r="C31" s="335">
        <f t="shared" si="2"/>
        <v>0</v>
      </c>
      <c r="D31" s="335">
        <v>0</v>
      </c>
      <c r="E31" s="335">
        <v>0</v>
      </c>
      <c r="F31" s="335">
        <v>0</v>
      </c>
      <c r="G31" s="335">
        <v>0</v>
      </c>
      <c r="H31" s="335">
        <v>0</v>
      </c>
      <c r="I31" s="335">
        <v>0</v>
      </c>
      <c r="J31" s="335">
        <v>0</v>
      </c>
      <c r="K31" s="335">
        <v>0</v>
      </c>
      <c r="L31" s="335">
        <v>0</v>
      </c>
      <c r="M31" s="335">
        <v>0</v>
      </c>
      <c r="N31" s="335">
        <v>0</v>
      </c>
      <c r="O31" s="335">
        <v>0</v>
      </c>
    </row>
    <row r="32" spans="2:15" ht="13.8" x14ac:dyDescent="0.3">
      <c r="B32" s="297" t="s">
        <v>653</v>
      </c>
      <c r="C32" s="335">
        <f t="shared" si="2"/>
        <v>0</v>
      </c>
      <c r="D32" s="335">
        <v>0</v>
      </c>
      <c r="E32" s="335">
        <v>0</v>
      </c>
      <c r="F32" s="335">
        <v>0</v>
      </c>
      <c r="G32" s="335">
        <v>0</v>
      </c>
      <c r="H32" s="335">
        <v>0</v>
      </c>
      <c r="I32" s="335">
        <v>0</v>
      </c>
      <c r="J32" s="335">
        <v>0</v>
      </c>
      <c r="K32" s="335">
        <v>0</v>
      </c>
      <c r="L32" s="335">
        <v>0</v>
      </c>
      <c r="M32" s="335">
        <v>0</v>
      </c>
      <c r="N32" s="335">
        <v>0</v>
      </c>
      <c r="O32" s="335">
        <v>0</v>
      </c>
    </row>
    <row r="33" spans="2:15" ht="13.8" x14ac:dyDescent="0.3">
      <c r="B33" s="297" t="s">
        <v>654</v>
      </c>
      <c r="C33" s="335">
        <f t="shared" si="2"/>
        <v>0</v>
      </c>
      <c r="D33" s="335">
        <v>0</v>
      </c>
      <c r="E33" s="335">
        <v>0</v>
      </c>
      <c r="F33" s="335">
        <v>0</v>
      </c>
      <c r="G33" s="335">
        <v>0</v>
      </c>
      <c r="H33" s="335">
        <v>0</v>
      </c>
      <c r="I33" s="335">
        <v>0</v>
      </c>
      <c r="J33" s="335">
        <v>0</v>
      </c>
      <c r="K33" s="335">
        <v>0</v>
      </c>
      <c r="L33" s="335">
        <v>0</v>
      </c>
      <c r="M33" s="335">
        <v>0</v>
      </c>
      <c r="N33" s="335">
        <v>0</v>
      </c>
      <c r="O33" s="335">
        <v>0</v>
      </c>
    </row>
    <row r="34" spans="2:15" ht="13.8" x14ac:dyDescent="0.3">
      <c r="B34" s="297" t="s">
        <v>655</v>
      </c>
      <c r="C34" s="335">
        <f t="shared" si="2"/>
        <v>0</v>
      </c>
      <c r="D34" s="335">
        <v>0</v>
      </c>
      <c r="E34" s="335">
        <v>0</v>
      </c>
      <c r="F34" s="335">
        <v>0</v>
      </c>
      <c r="G34" s="335">
        <v>0</v>
      </c>
      <c r="H34" s="335">
        <v>0</v>
      </c>
      <c r="I34" s="335">
        <v>0</v>
      </c>
      <c r="J34" s="335">
        <v>0</v>
      </c>
      <c r="K34" s="335">
        <v>0</v>
      </c>
      <c r="L34" s="335">
        <v>0</v>
      </c>
      <c r="M34" s="335">
        <v>0</v>
      </c>
      <c r="N34" s="335">
        <v>0</v>
      </c>
      <c r="O34" s="335">
        <v>0</v>
      </c>
    </row>
    <row r="35" spans="2:15" ht="13.8" x14ac:dyDescent="0.3">
      <c r="B35" s="297" t="s">
        <v>656</v>
      </c>
      <c r="C35" s="335">
        <f t="shared" si="2"/>
        <v>0</v>
      </c>
      <c r="D35" s="335">
        <v>0</v>
      </c>
      <c r="E35" s="335">
        <v>0</v>
      </c>
      <c r="F35" s="335">
        <v>0</v>
      </c>
      <c r="G35" s="335">
        <v>0</v>
      </c>
      <c r="H35" s="335">
        <v>0</v>
      </c>
      <c r="I35" s="335">
        <v>0</v>
      </c>
      <c r="J35" s="335">
        <v>0</v>
      </c>
      <c r="K35" s="335">
        <v>0</v>
      </c>
      <c r="L35" s="335">
        <v>0</v>
      </c>
      <c r="M35" s="335">
        <v>0</v>
      </c>
      <c r="N35" s="335">
        <v>0</v>
      </c>
      <c r="O35" s="335">
        <v>0</v>
      </c>
    </row>
    <row r="36" spans="2:15" ht="13.8" x14ac:dyDescent="0.3">
      <c r="B36" s="297" t="s">
        <v>657</v>
      </c>
      <c r="C36" s="335">
        <f t="shared" si="2"/>
        <v>0</v>
      </c>
      <c r="D36" s="335">
        <v>0</v>
      </c>
      <c r="E36" s="335">
        <v>0</v>
      </c>
      <c r="F36" s="335">
        <v>0</v>
      </c>
      <c r="G36" s="335">
        <v>0</v>
      </c>
      <c r="H36" s="335">
        <v>0</v>
      </c>
      <c r="I36" s="335">
        <v>0</v>
      </c>
      <c r="J36" s="335">
        <v>0</v>
      </c>
      <c r="K36" s="335">
        <v>0</v>
      </c>
      <c r="L36" s="335">
        <v>0</v>
      </c>
      <c r="M36" s="335">
        <v>0</v>
      </c>
      <c r="N36" s="335">
        <v>0</v>
      </c>
      <c r="O36" s="335">
        <v>0</v>
      </c>
    </row>
    <row r="37" spans="2:15" ht="13.8" x14ac:dyDescent="0.3">
      <c r="B37" s="297" t="s">
        <v>658</v>
      </c>
      <c r="C37" s="335">
        <f t="shared" si="2"/>
        <v>0</v>
      </c>
      <c r="D37" s="335">
        <v>0</v>
      </c>
      <c r="E37" s="335">
        <v>0</v>
      </c>
      <c r="F37" s="335">
        <v>0</v>
      </c>
      <c r="G37" s="335">
        <v>0</v>
      </c>
      <c r="H37" s="335">
        <v>0</v>
      </c>
      <c r="I37" s="335">
        <v>0</v>
      </c>
      <c r="J37" s="335">
        <v>0</v>
      </c>
      <c r="K37" s="335">
        <v>0</v>
      </c>
      <c r="L37" s="335">
        <v>0</v>
      </c>
      <c r="M37" s="335">
        <v>0</v>
      </c>
      <c r="N37" s="335">
        <v>0</v>
      </c>
      <c r="O37" s="335">
        <v>0</v>
      </c>
    </row>
    <row r="38" spans="2:15" ht="13.8" x14ac:dyDescent="0.3">
      <c r="B38" s="297" t="s">
        <v>659</v>
      </c>
      <c r="C38" s="335">
        <f t="shared" si="2"/>
        <v>0</v>
      </c>
      <c r="D38" s="335">
        <v>0</v>
      </c>
      <c r="E38" s="335">
        <v>0</v>
      </c>
      <c r="F38" s="335">
        <v>0</v>
      </c>
      <c r="G38" s="335">
        <v>0</v>
      </c>
      <c r="H38" s="335">
        <v>0</v>
      </c>
      <c r="I38" s="335">
        <v>0</v>
      </c>
      <c r="J38" s="335">
        <v>0</v>
      </c>
      <c r="K38" s="335">
        <v>0</v>
      </c>
      <c r="L38" s="335">
        <v>0</v>
      </c>
      <c r="M38" s="335">
        <v>0</v>
      </c>
      <c r="N38" s="335">
        <v>0</v>
      </c>
      <c r="O38" s="335">
        <v>0</v>
      </c>
    </row>
    <row r="39" spans="2:15" ht="13.8" x14ac:dyDescent="0.3">
      <c r="B39" s="297" t="s">
        <v>660</v>
      </c>
      <c r="C39" s="335">
        <f t="shared" si="2"/>
        <v>-15000</v>
      </c>
      <c r="D39" s="335">
        <f>-SUM(Balancete!D494,Balancete!D582)</f>
        <v>0</v>
      </c>
      <c r="E39" s="335">
        <f>-SUM(Balancete!E494,Balancete!E582)</f>
        <v>0</v>
      </c>
      <c r="F39" s="335">
        <f>-SUM(Balancete!F494,Balancete!F582)</f>
        <v>0</v>
      </c>
      <c r="G39" s="335">
        <f>-SUM(Balancete!G494,Balancete!G582)</f>
        <v>0</v>
      </c>
      <c r="H39" s="335">
        <f>-SUM(Balancete!H494,Balancete!H582)</f>
        <v>0</v>
      </c>
      <c r="I39" s="335">
        <f>-SUM(Balancete!I494,Balancete!I582)</f>
        <v>0</v>
      </c>
      <c r="J39" s="335">
        <f>-SUM(Balancete!J494,Balancete!J582)</f>
        <v>0</v>
      </c>
      <c r="K39" s="335">
        <f>-SUM(Balancete!K494,Balancete!K582)</f>
        <v>0</v>
      </c>
      <c r="L39" s="335">
        <f>-SUM(Balancete!L494,Balancete!L582)</f>
        <v>0</v>
      </c>
      <c r="M39" s="335">
        <f>-SUM(Balancete!M494,Balancete!M582)</f>
        <v>0</v>
      </c>
      <c r="N39" s="335">
        <f>-SUM(Balancete!N494,Balancete!N582)</f>
        <v>-5000</v>
      </c>
      <c r="O39" s="335">
        <f>-SUM(Balancete!O494,Balancete!O582)</f>
        <v>-10000</v>
      </c>
    </row>
    <row r="40" spans="2:15" ht="13.8" x14ac:dyDescent="0.3">
      <c r="B40" s="297" t="s">
        <v>661</v>
      </c>
      <c r="C40" s="335">
        <f t="shared" si="2"/>
        <v>0</v>
      </c>
      <c r="D40" s="335">
        <v>0</v>
      </c>
      <c r="E40" s="335">
        <v>0</v>
      </c>
      <c r="F40" s="335">
        <v>0</v>
      </c>
      <c r="G40" s="335">
        <v>0</v>
      </c>
      <c r="H40" s="335">
        <v>0</v>
      </c>
      <c r="I40" s="335">
        <v>0</v>
      </c>
      <c r="J40" s="335">
        <v>0</v>
      </c>
      <c r="K40" s="335">
        <v>0</v>
      </c>
      <c r="L40" s="335">
        <v>0</v>
      </c>
      <c r="M40" s="335">
        <v>0</v>
      </c>
      <c r="N40" s="335">
        <v>0</v>
      </c>
      <c r="O40" s="335">
        <v>0</v>
      </c>
    </row>
    <row r="41" spans="2:15" ht="13.8" x14ac:dyDescent="0.3">
      <c r="B41" s="297" t="s">
        <v>662</v>
      </c>
      <c r="C41" s="335">
        <f t="shared" si="2"/>
        <v>0</v>
      </c>
      <c r="D41" s="335">
        <v>0</v>
      </c>
      <c r="E41" s="335">
        <v>0</v>
      </c>
      <c r="F41" s="335">
        <v>0</v>
      </c>
      <c r="G41" s="335">
        <v>0</v>
      </c>
      <c r="H41" s="335">
        <v>0</v>
      </c>
      <c r="I41" s="335">
        <v>0</v>
      </c>
      <c r="J41" s="335">
        <v>0</v>
      </c>
      <c r="K41" s="335">
        <v>0</v>
      </c>
      <c r="L41" s="335">
        <v>0</v>
      </c>
      <c r="M41" s="335">
        <v>0</v>
      </c>
      <c r="N41" s="335">
        <v>0</v>
      </c>
      <c r="O41" s="335">
        <v>0</v>
      </c>
    </row>
    <row r="42" spans="2:15" ht="13.8" x14ac:dyDescent="0.3">
      <c r="B42" s="297" t="s">
        <v>663</v>
      </c>
      <c r="C42" s="335">
        <f t="shared" si="2"/>
        <v>-44475.33</v>
      </c>
      <c r="D42" s="335">
        <f>-Balancete!D562</f>
        <v>0</v>
      </c>
      <c r="E42" s="335">
        <f>-Balancete!E562</f>
        <v>0</v>
      </c>
      <c r="F42" s="335">
        <f>-Balancete!F562</f>
        <v>0</v>
      </c>
      <c r="G42" s="335">
        <f>-Balancete!G562</f>
        <v>0</v>
      </c>
      <c r="H42" s="335">
        <f>-Balancete!H562</f>
        <v>0</v>
      </c>
      <c r="I42" s="335">
        <f>-Balancete!I562</f>
        <v>0</v>
      </c>
      <c r="J42" s="335">
        <f>-Balancete!J562</f>
        <v>0</v>
      </c>
      <c r="K42" s="335">
        <f>-Balancete!K562</f>
        <v>0</v>
      </c>
      <c r="L42" s="335">
        <f>-Balancete!L562</f>
        <v>0</v>
      </c>
      <c r="M42" s="335">
        <f>-Balancete!M562</f>
        <v>-2726.55</v>
      </c>
      <c r="N42" s="335">
        <f>-Balancete!N562</f>
        <v>-35672.5</v>
      </c>
      <c r="O42" s="335">
        <f>-Balancete!O562</f>
        <v>-6076.28</v>
      </c>
    </row>
    <row r="43" spans="2:15" ht="13.8" x14ac:dyDescent="0.3">
      <c r="B43" s="297" t="s">
        <v>664</v>
      </c>
      <c r="C43" s="335">
        <f t="shared" si="2"/>
        <v>-520795.12</v>
      </c>
      <c r="D43" s="335">
        <f>-SUM(Balancete!D571:D573,Balancete!D561,Balancete!D543:D559,Balancete!D539:D541,Balancete!D489:D493,Balancete!D487,Balancete!D523)</f>
        <v>0</v>
      </c>
      <c r="E43" s="335">
        <f>-SUM(Balancete!E571:E573,Balancete!E561,Balancete!E543:E559,Balancete!E539:E541,Balancete!E489:E493,Balancete!E487,Balancete!E523)</f>
        <v>0</v>
      </c>
      <c r="F43" s="335">
        <f>-SUM(Balancete!F571:F573,Balancete!F561,Balancete!F543:F559,Balancete!F539:F541,Balancete!F489:F493,Balancete!F487,Balancete!F523)</f>
        <v>0</v>
      </c>
      <c r="G43" s="335">
        <f>-SUM(Balancete!G571:G573,Balancete!G561,Balancete!G543:G559,Balancete!G539:G541,Balancete!G489:G493,Balancete!G487,Balancete!G523)</f>
        <v>0</v>
      </c>
      <c r="H43" s="335">
        <f>-SUM(Balancete!H571:H573,Balancete!H561,Balancete!H543:H559,Balancete!H539:H541,Balancete!H489:H493,Balancete!H487,Balancete!H523)</f>
        <v>0</v>
      </c>
      <c r="I43" s="335">
        <f>-SUM(Balancete!I571:I573,Balancete!I561,Balancete!I543:I559,Balancete!I539:I541,Balancete!I489:I493,Balancete!I487,Balancete!I523)</f>
        <v>0</v>
      </c>
      <c r="J43" s="335">
        <f>-SUM(Balancete!J571:J573,Balancete!J561,Balancete!J543:J559,Balancete!J539:J541,Balancete!J489:J493,Balancete!J487,Balancete!J523)</f>
        <v>0</v>
      </c>
      <c r="K43" s="335">
        <f>-SUM(Balancete!K571:K573,Balancete!K561,Balancete!K543:K559,Balancete!K539:K541,Balancete!K489:K493,Balancete!K487,Balancete!K523)</f>
        <v>0</v>
      </c>
      <c r="L43" s="335">
        <f>-SUM(Balancete!L571:L573,Balancete!L561,Balancete!L543:L559,Balancete!L539:L541,Balancete!L489:L493,Balancete!L487,Balancete!L523)</f>
        <v>0</v>
      </c>
      <c r="M43" s="335">
        <f>-SUM(Balancete!M571:M573,Balancete!M561,Balancete!M543:M559,Balancete!M539:M541,Balancete!M489:M493,Balancete!M487,Balancete!M523)</f>
        <v>-334819.53999999998</v>
      </c>
      <c r="N43" s="335">
        <f>-SUM(Balancete!N571:N573,Balancete!N561,Balancete!N543:N559,Balancete!N539:N541,Balancete!N489:N493,Balancete!N487,Balancete!N523)</f>
        <v>-168535.94</v>
      </c>
      <c r="O43" s="335">
        <f>-SUM(Balancete!O571:O573,Balancete!O561,Balancete!O543:O559,Balancete!O539:O541,Balancete!O489:O493,Balancete!O487,Balancete!O523)</f>
        <v>-17439.640000000003</v>
      </c>
    </row>
    <row r="44" spans="2:15" ht="13.8" x14ac:dyDescent="0.3">
      <c r="B44" s="297" t="s">
        <v>665</v>
      </c>
      <c r="C44" s="335">
        <f t="shared" si="2"/>
        <v>0</v>
      </c>
      <c r="D44" s="335">
        <f>0</f>
        <v>0</v>
      </c>
      <c r="E44" s="335">
        <f>0</f>
        <v>0</v>
      </c>
      <c r="F44" s="335">
        <f>0</f>
        <v>0</v>
      </c>
      <c r="G44" s="335">
        <f>0</f>
        <v>0</v>
      </c>
      <c r="H44" s="335">
        <f>0</f>
        <v>0</v>
      </c>
      <c r="I44" s="335">
        <f>0</f>
        <v>0</v>
      </c>
      <c r="J44" s="335">
        <f>0</f>
        <v>0</v>
      </c>
      <c r="K44" s="335">
        <f>0</f>
        <v>0</v>
      </c>
      <c r="L44" s="335">
        <f>0</f>
        <v>0</v>
      </c>
      <c r="M44" s="335">
        <f>0</f>
        <v>0</v>
      </c>
      <c r="N44" s="335">
        <f>0</f>
        <v>0</v>
      </c>
      <c r="O44" s="335">
        <f>0</f>
        <v>0</v>
      </c>
    </row>
    <row r="45" spans="2:15" ht="13.8" x14ac:dyDescent="0.3">
      <c r="B45" s="297" t="s">
        <v>666</v>
      </c>
      <c r="C45" s="335">
        <f t="shared" si="2"/>
        <v>0</v>
      </c>
      <c r="D45" s="335">
        <f>-Balancete!D241</f>
        <v>0</v>
      </c>
      <c r="E45" s="335">
        <f>-Balancete!E241</f>
        <v>0</v>
      </c>
      <c r="F45" s="335">
        <f>-Balancete!F241</f>
        <v>0</v>
      </c>
      <c r="G45" s="335">
        <f>-Balancete!G241</f>
        <v>0</v>
      </c>
      <c r="H45" s="335">
        <f>-Balancete!H241</f>
        <v>0</v>
      </c>
      <c r="I45" s="335">
        <f>-Balancete!I241</f>
        <v>0</v>
      </c>
      <c r="J45" s="335">
        <f>-Balancete!J241</f>
        <v>0</v>
      </c>
      <c r="K45" s="335">
        <f>-Balancete!K241</f>
        <v>0</v>
      </c>
      <c r="L45" s="335">
        <f>-Balancete!L241</f>
        <v>0</v>
      </c>
      <c r="M45" s="335">
        <f>-Balancete!M241</f>
        <v>0</v>
      </c>
      <c r="N45" s="335">
        <f>-Balancete!N241</f>
        <v>0</v>
      </c>
      <c r="O45" s="335">
        <f>-Balancete!O241</f>
        <v>0</v>
      </c>
    </row>
    <row r="46" spans="2:15" ht="13.8" x14ac:dyDescent="0.3">
      <c r="B46" s="299" t="s">
        <v>667</v>
      </c>
      <c r="C46" s="338">
        <f t="shared" ref="C46:O46" si="3">SUM(C28:C45)</f>
        <v>-3539900.45</v>
      </c>
      <c r="D46" s="338">
        <f t="shared" si="3"/>
        <v>0</v>
      </c>
      <c r="E46" s="338">
        <f t="shared" si="3"/>
        <v>0</v>
      </c>
      <c r="F46" s="338">
        <f t="shared" si="3"/>
        <v>0</v>
      </c>
      <c r="G46" s="338">
        <f t="shared" si="3"/>
        <v>0</v>
      </c>
      <c r="H46" s="338">
        <f t="shared" si="3"/>
        <v>0</v>
      </c>
      <c r="I46" s="338">
        <f t="shared" si="3"/>
        <v>0</v>
      </c>
      <c r="J46" s="338">
        <f t="shared" si="3"/>
        <v>0</v>
      </c>
      <c r="K46" s="338">
        <f t="shared" si="3"/>
        <v>0</v>
      </c>
      <c r="L46" s="338">
        <f t="shared" si="3"/>
        <v>0</v>
      </c>
      <c r="M46" s="338">
        <f t="shared" si="3"/>
        <v>-690337.83</v>
      </c>
      <c r="N46" s="338">
        <f t="shared" si="3"/>
        <v>-1100840.1399999999</v>
      </c>
      <c r="O46" s="338">
        <f t="shared" si="3"/>
        <v>-1748722.48</v>
      </c>
    </row>
    <row r="47" spans="2:15" ht="13.8" x14ac:dyDescent="0.3">
      <c r="B47" s="297" t="s">
        <v>668</v>
      </c>
      <c r="C47" s="335">
        <f t="shared" si="2"/>
        <v>-26921.690000000002</v>
      </c>
      <c r="D47" s="335">
        <f>-Balancete!D542</f>
        <v>0</v>
      </c>
      <c r="E47" s="335">
        <f>-Balancete!E542</f>
        <v>0</v>
      </c>
      <c r="F47" s="335">
        <f>-Balancete!F542</f>
        <v>0</v>
      </c>
      <c r="G47" s="335">
        <f>-Balancete!G542</f>
        <v>0</v>
      </c>
      <c r="H47" s="335">
        <f>-Balancete!H542</f>
        <v>0</v>
      </c>
      <c r="I47" s="335">
        <f>-Balancete!I542</f>
        <v>0</v>
      </c>
      <c r="J47" s="335">
        <f>-Balancete!J542</f>
        <v>0</v>
      </c>
      <c r="K47" s="335">
        <f>-Balancete!K542</f>
        <v>0</v>
      </c>
      <c r="L47" s="335">
        <f>-Balancete!L542</f>
        <v>0</v>
      </c>
      <c r="M47" s="335">
        <f>-Balancete!M542</f>
        <v>-15283.27</v>
      </c>
      <c r="N47" s="335">
        <f>-Balancete!N542</f>
        <v>-4186.1099999999997</v>
      </c>
      <c r="O47" s="335">
        <f>-Balancete!O542</f>
        <v>-7452.31</v>
      </c>
    </row>
    <row r="48" spans="2:15" ht="13.8" x14ac:dyDescent="0.3">
      <c r="B48" s="297" t="s">
        <v>669</v>
      </c>
      <c r="C48" s="335">
        <f t="shared" si="2"/>
        <v>0</v>
      </c>
      <c r="D48" s="335">
        <v>0</v>
      </c>
      <c r="E48" s="335">
        <v>0</v>
      </c>
      <c r="F48" s="335">
        <v>0</v>
      </c>
      <c r="G48" s="335">
        <v>0</v>
      </c>
      <c r="H48" s="335">
        <v>0</v>
      </c>
      <c r="I48" s="335">
        <v>0</v>
      </c>
      <c r="J48" s="335">
        <v>0</v>
      </c>
      <c r="K48" s="335">
        <v>0</v>
      </c>
      <c r="L48" s="335">
        <v>0</v>
      </c>
      <c r="M48" s="335">
        <v>0</v>
      </c>
      <c r="N48" s="335">
        <v>0</v>
      </c>
      <c r="O48" s="335">
        <v>0</v>
      </c>
    </row>
    <row r="49" spans="2:15" ht="13.8" x14ac:dyDescent="0.3">
      <c r="B49" s="297" t="s">
        <v>670</v>
      </c>
      <c r="C49" s="335">
        <f t="shared" si="2"/>
        <v>-454258.77000000008</v>
      </c>
      <c r="D49" s="335">
        <f>-SUM(Balancete!D374:D388,Balancete!D417:D431)</f>
        <v>0</v>
      </c>
      <c r="E49" s="335">
        <f>-SUM(Balancete!E374:E388,Balancete!E417:E431)</f>
        <v>0</v>
      </c>
      <c r="F49" s="335">
        <f>-SUM(Balancete!F374:F388,Balancete!F417:F431)</f>
        <v>0</v>
      </c>
      <c r="G49" s="335">
        <f>-SUM(Balancete!G374:G388,Balancete!G417:G431)</f>
        <v>0</v>
      </c>
      <c r="H49" s="335">
        <f>-SUM(Balancete!H374:H388,Balancete!H417:H431)</f>
        <v>0</v>
      </c>
      <c r="I49" s="335">
        <f>-SUM(Balancete!I374:I388,Balancete!I417:I431)</f>
        <v>0</v>
      </c>
      <c r="J49" s="335">
        <f>-SUM(Balancete!J374:J388,Balancete!J417:J431)</f>
        <v>0</v>
      </c>
      <c r="K49" s="335">
        <f>-SUM(Balancete!K374:K388,Balancete!K417:K431)</f>
        <v>0</v>
      </c>
      <c r="L49" s="335">
        <f>-SUM(Balancete!L374:L388,Balancete!L417:L431)</f>
        <v>0</v>
      </c>
      <c r="M49" s="335">
        <f>-SUM(Balancete!M374:M388,Balancete!M417:M431)</f>
        <v>-133634.82</v>
      </c>
      <c r="N49" s="335">
        <f>-SUM(Balancete!N374:N388,Balancete!N417:N431)</f>
        <v>-161388.81000000006</v>
      </c>
      <c r="O49" s="335">
        <f>-SUM(Balancete!O374:O388,Balancete!O417:O431)</f>
        <v>-159235.14000000001</v>
      </c>
    </row>
    <row r="50" spans="2:15" ht="13.8" x14ac:dyDescent="0.3">
      <c r="B50" s="300" t="s">
        <v>671</v>
      </c>
      <c r="C50" s="339">
        <f t="shared" ref="C50:O50" si="4">SUM(C47:C49)</f>
        <v>-481180.46000000008</v>
      </c>
      <c r="D50" s="339">
        <f t="shared" si="4"/>
        <v>0</v>
      </c>
      <c r="E50" s="339">
        <f t="shared" si="4"/>
        <v>0</v>
      </c>
      <c r="F50" s="339">
        <f t="shared" si="4"/>
        <v>0</v>
      </c>
      <c r="G50" s="339">
        <f t="shared" si="4"/>
        <v>0</v>
      </c>
      <c r="H50" s="339">
        <f t="shared" si="4"/>
        <v>0</v>
      </c>
      <c r="I50" s="339">
        <f t="shared" si="4"/>
        <v>0</v>
      </c>
      <c r="J50" s="339">
        <f t="shared" si="4"/>
        <v>0</v>
      </c>
      <c r="K50" s="339">
        <f t="shared" si="4"/>
        <v>0</v>
      </c>
      <c r="L50" s="339">
        <f t="shared" si="4"/>
        <v>0</v>
      </c>
      <c r="M50" s="339">
        <f t="shared" si="4"/>
        <v>-148918.09</v>
      </c>
      <c r="N50" s="339">
        <f t="shared" si="4"/>
        <v>-165574.92000000004</v>
      </c>
      <c r="O50" s="339">
        <f t="shared" si="4"/>
        <v>-166687.45000000001</v>
      </c>
    </row>
    <row r="51" spans="2:15" ht="13.8" x14ac:dyDescent="0.3">
      <c r="B51" s="298" t="s">
        <v>672</v>
      </c>
      <c r="C51" s="340">
        <f t="shared" ref="C51:O51" si="5">C50+C46</f>
        <v>-4021080.91</v>
      </c>
      <c r="D51" s="340">
        <f t="shared" si="5"/>
        <v>0</v>
      </c>
      <c r="E51" s="340">
        <f t="shared" si="5"/>
        <v>0</v>
      </c>
      <c r="F51" s="340">
        <f t="shared" si="5"/>
        <v>0</v>
      </c>
      <c r="G51" s="340">
        <f t="shared" si="5"/>
        <v>0</v>
      </c>
      <c r="H51" s="340">
        <f t="shared" si="5"/>
        <v>0</v>
      </c>
      <c r="I51" s="340">
        <f t="shared" si="5"/>
        <v>0</v>
      </c>
      <c r="J51" s="340">
        <f t="shared" si="5"/>
        <v>0</v>
      </c>
      <c r="K51" s="340">
        <f t="shared" si="5"/>
        <v>0</v>
      </c>
      <c r="L51" s="340">
        <f t="shared" si="5"/>
        <v>0</v>
      </c>
      <c r="M51" s="340">
        <f t="shared" si="5"/>
        <v>-839255.91999999993</v>
      </c>
      <c r="N51" s="340">
        <f t="shared" si="5"/>
        <v>-1266415.06</v>
      </c>
      <c r="O51" s="340">
        <f t="shared" si="5"/>
        <v>-1915409.93</v>
      </c>
    </row>
    <row r="52" spans="2:15" ht="13.8" x14ac:dyDescent="0.3">
      <c r="B52" s="297" t="s">
        <v>673</v>
      </c>
      <c r="C52" s="335">
        <f t="shared" ref="C52:C54" si="6">SUM(D52:O52)</f>
        <v>-98831.81</v>
      </c>
      <c r="D52" s="335">
        <f>-SUM(Balancete!D316:D318,Balancete!D320,Balancete!D333,Balancete!D335:D337,Balancete!D339,Balancete!D342:D350,Balancete!D352:D356,Balancete!D358,Balancete!D362:D363,Balancete!D499:D501,Balancete!D503:D514,Balancete!D517:D522,Balancete!D528:D533)</f>
        <v>0</v>
      </c>
      <c r="E52" s="335">
        <f>-SUM(Balancete!E316:E318,Balancete!E320,Balancete!E333,Balancete!E335:E337,Balancete!E339,Balancete!E342:E350,Balancete!E352:E356,Balancete!E358,Balancete!E362:E363,Balancete!E499:E501,Balancete!E503:E514,Balancete!E517:E522,Balancete!E528:E533)</f>
        <v>0</v>
      </c>
      <c r="F52" s="335">
        <f>-SUM(Balancete!F316:F318,Balancete!F320,Balancete!F333,Balancete!F335:F337,Balancete!F339,Balancete!F342:F350,Balancete!F352:F356,Balancete!F358,Balancete!F362:F363,Balancete!F499:F501,Balancete!F503:F514,Balancete!F517:F522,Balancete!F528:F533)</f>
        <v>0</v>
      </c>
      <c r="G52" s="335">
        <f>-SUM(Balancete!G316:G318,Balancete!G320,Balancete!G333,Balancete!G335:G337,Balancete!G339,Balancete!G342:G350,Balancete!G352:G356,Balancete!G358,Balancete!G362:G363,Balancete!G499:G501,Balancete!G503:G514,Balancete!G517:G522,Balancete!G528:G533)</f>
        <v>0</v>
      </c>
      <c r="H52" s="335">
        <f>-SUM(Balancete!H316:H318,Balancete!H320,Balancete!H333,Balancete!H335:H337,Balancete!H339,Balancete!H342:H350,Balancete!H352:H356,Balancete!H358,Balancete!H362:H363,Balancete!H499:H501,Balancete!H503:H514,Balancete!H517:H522,Balancete!H528:H533)</f>
        <v>0</v>
      </c>
      <c r="I52" s="335">
        <f>-SUM(Balancete!I316:I318,Balancete!I320,Balancete!I333,Balancete!I335:I337,Balancete!I339,Balancete!I342:I350,Balancete!I352:I356,Balancete!I358,Balancete!I362:I363,Balancete!I499:I501,Balancete!I503:I514,Balancete!I517:I522,Balancete!I528:I533)</f>
        <v>0</v>
      </c>
      <c r="J52" s="335">
        <f>-SUM(Balancete!J316:J318,Balancete!J320,Balancete!J333,Balancete!J335:J337,Balancete!J339,Balancete!J342:J350,Balancete!J352:J356,Balancete!J358,Balancete!J362:J363,Balancete!J499:J501,Balancete!J503:J514,Balancete!J517:J522,Balancete!J528:J533)</f>
        <v>0</v>
      </c>
      <c r="K52" s="335">
        <f>-SUM(Balancete!K316:K318,Balancete!K320,Balancete!K333,Balancete!K335:K337,Balancete!K339,Balancete!K342:K350,Balancete!K352:K356,Balancete!K358,Balancete!K362:K363,Balancete!K499:K501,Balancete!K503:K514,Balancete!K517:K522,Balancete!K528:K533)</f>
        <v>0</v>
      </c>
      <c r="L52" s="335">
        <f>-SUM(Balancete!L316:L318,Balancete!L320,Balancete!L333,Balancete!L335:L337,Balancete!L339,Balancete!L342:L350,Balancete!L352:L356,Balancete!L358,Balancete!L362:L363,Balancete!L499:L501,Balancete!L503:L514,Balancete!L517:L522,Balancete!L528:L533)</f>
        <v>0</v>
      </c>
      <c r="M52" s="335">
        <f>-SUM(Balancete!M316:M318,Balancete!M320,Balancete!M333,Balancete!M335:M337,Balancete!M339,Balancete!M342:M350,Balancete!M352:M356,Balancete!M358,Balancete!M362:M363,Balancete!M499:M501,Balancete!M503:M514,Balancete!M517:M522,Balancete!M528:M533)</f>
        <v>-28712.059999999998</v>
      </c>
      <c r="N52" s="335">
        <f>-SUM(Balancete!N316:N318,Balancete!N320,Balancete!N333,Balancete!N335:N337,Balancete!N339,Balancete!N342:N350,Balancete!N352:N356,Balancete!N358,Balancete!N362:N363,Balancete!N499:N501,Balancete!N503:N514,Balancete!N517:N522,Balancete!N528:N533)</f>
        <v>-53026.5</v>
      </c>
      <c r="O52" s="335">
        <f>-SUM(Balancete!O316:O318,Balancete!O320,Balancete!O333,Balancete!O335:O337,Balancete!O339,Balancete!O342:O350,Balancete!O352:O356,Balancete!O358,Balancete!O362:O363,Balancete!O499:O501,Balancete!O503:O514,Balancete!O517:O522,Balancete!O528:O533)</f>
        <v>-17093.25</v>
      </c>
    </row>
    <row r="53" spans="2:15" ht="13.8" x14ac:dyDescent="0.3">
      <c r="B53" s="297" t="s">
        <v>674</v>
      </c>
      <c r="C53" s="335">
        <f t="shared" si="6"/>
        <v>-94328.06</v>
      </c>
      <c r="D53" s="335">
        <f>-SUM(Balancete!D297,Balancete!D357,Balancete!D359:D361,Balancete!D460:D461,Balancete!D488,Balancete!D560,Balancete!D578:D581)</f>
        <v>0</v>
      </c>
      <c r="E53" s="335">
        <f>-SUM(Balancete!E297,Balancete!E357,Balancete!E359:E361,Balancete!E460:E461,Balancete!E488,Balancete!E560,Balancete!E578:E581)</f>
        <v>0</v>
      </c>
      <c r="F53" s="335">
        <f>-SUM(Balancete!F297,Balancete!F357,Balancete!F359:F361,Balancete!F460:F461,Balancete!F488,Balancete!F560,Balancete!F578:F581)</f>
        <v>0</v>
      </c>
      <c r="G53" s="335">
        <f>-SUM(Balancete!G297,Balancete!G357,Balancete!G359:G361,Balancete!G460:G461,Balancete!G488,Balancete!G560,Balancete!G578:G581)</f>
        <v>0</v>
      </c>
      <c r="H53" s="335">
        <f>-SUM(Balancete!H297,Balancete!H357,Balancete!H359:H361,Balancete!H460:H461,Balancete!H488,Balancete!H560,Balancete!H578:H581)</f>
        <v>0</v>
      </c>
      <c r="I53" s="335">
        <f>-SUM(Balancete!I297,Balancete!I357,Balancete!I359:I361,Balancete!I460:I461,Balancete!I488,Balancete!I560,Balancete!I578:I581)</f>
        <v>0</v>
      </c>
      <c r="J53" s="335">
        <f>-SUM(Balancete!J297,Balancete!J357,Balancete!J359:J361,Balancete!J460:J461,Balancete!J488,Balancete!J560,Balancete!J578:J581)</f>
        <v>0</v>
      </c>
      <c r="K53" s="335">
        <f>-SUM(Balancete!K297,Balancete!K357,Balancete!K359:K361,Balancete!K460:K461,Balancete!K488,Balancete!K560,Balancete!K578:K581)</f>
        <v>0</v>
      </c>
      <c r="L53" s="335">
        <f>-SUM(Balancete!L297,Balancete!L357,Balancete!L359:L361,Balancete!L460:L461,Balancete!L488,Balancete!L560,Balancete!L578:L581)</f>
        <v>0</v>
      </c>
      <c r="M53" s="335">
        <f>-SUM(Balancete!M297,Balancete!M357,Balancete!M359:M361,Balancete!M460:M461,Balancete!M488,Balancete!M560,Balancete!M578:M581)</f>
        <v>-39073.56</v>
      </c>
      <c r="N53" s="335">
        <f>-SUM(Balancete!N297,Balancete!N357,Balancete!N359:N361,Balancete!N460:N461,Balancete!N488,Balancete!N560,Balancete!N578:N581)</f>
        <v>-27627.25</v>
      </c>
      <c r="O53" s="335">
        <f>-SUM(Balancete!O297,Balancete!O357,Balancete!O359:O361,Balancete!O460:O461,Balancete!O488,Balancete!O560,Balancete!O578:O581)</f>
        <v>-27627.25</v>
      </c>
    </row>
    <row r="54" spans="2:15" ht="13.8" x14ac:dyDescent="0.3">
      <c r="B54" s="297" t="s">
        <v>675</v>
      </c>
      <c r="C54" s="335">
        <f t="shared" si="6"/>
        <v>-185774.09</v>
      </c>
      <c r="D54" s="335">
        <f>-SUM(Balancete!D319,Balancete!D321:D327,Balancete!D329:D332,Balancete!D334,Balancete!D338,Balancete!D340:D341,Balancete!D351,Balancete!D502,Balancete!D524,Balancete!D535)</f>
        <v>0</v>
      </c>
      <c r="E54" s="335">
        <f>-SUM(Balancete!E319,Balancete!E321:E327,Balancete!E329:E332,Balancete!E334,Balancete!E338,Balancete!E340:E341,Balancete!E351,Balancete!E502,Balancete!E524,Balancete!E535)</f>
        <v>0</v>
      </c>
      <c r="F54" s="335">
        <f>-SUM(Balancete!F319,Balancete!F321:F327,Balancete!F329:F332,Balancete!F334,Balancete!F338,Balancete!F340:F341,Balancete!F351,Balancete!F502,Balancete!F524,Balancete!F535)</f>
        <v>0</v>
      </c>
      <c r="G54" s="335">
        <f>-SUM(Balancete!G319,Balancete!G321:G327,Balancete!G329:G332,Balancete!G334,Balancete!G338,Balancete!G340:G341,Balancete!G351,Balancete!G502,Balancete!G524,Balancete!G535)</f>
        <v>0</v>
      </c>
      <c r="H54" s="335">
        <f>-SUM(Balancete!H319,Balancete!H321:H327,Balancete!H329:H332,Balancete!H334,Balancete!H338,Balancete!H340:H341,Balancete!H351,Balancete!H502,Balancete!H524,Balancete!H535)</f>
        <v>0</v>
      </c>
      <c r="I54" s="335">
        <f>-SUM(Balancete!I319,Balancete!I321:I327,Balancete!I329:I332,Balancete!I334,Balancete!I338,Balancete!I340:I341,Balancete!I351,Balancete!I502,Balancete!I524,Balancete!I535)</f>
        <v>0</v>
      </c>
      <c r="J54" s="335">
        <f>-SUM(Balancete!J319,Balancete!J321:J327,Balancete!J329:J332,Balancete!J334,Balancete!J338,Balancete!J340:J341,Balancete!J351,Balancete!J502,Balancete!J524,Balancete!J535)</f>
        <v>0</v>
      </c>
      <c r="K54" s="335">
        <f>-SUM(Balancete!K319,Balancete!K321:K327,Balancete!K329:K332,Balancete!K334,Balancete!K338,Balancete!K340:K341,Balancete!K351,Balancete!K502,Balancete!K524,Balancete!K535)</f>
        <v>0</v>
      </c>
      <c r="L54" s="335">
        <f>-SUM(Balancete!L319,Balancete!L321:L327,Balancete!L329:L332,Balancete!L334,Balancete!L338,Balancete!L340:L341,Balancete!L351,Balancete!L502,Balancete!L524,Balancete!L535)</f>
        <v>0</v>
      </c>
      <c r="M54" s="335">
        <f>-SUM(Balancete!M319,Balancete!M321:M327,Balancete!M329:M332,Balancete!M334,Balancete!M338,Balancete!M340:M341,Balancete!M351,Balancete!M502,Balancete!M524,Balancete!M535)</f>
        <v>-72272.899999999994</v>
      </c>
      <c r="N54" s="335">
        <f>-SUM(Balancete!N319,Balancete!N321:N327,Balancete!N329:N332,Balancete!N334,Balancete!N338,Balancete!N340:N341,Balancete!N351,Balancete!N502,Balancete!N524,Balancete!N535,Balancete!N498)</f>
        <v>-52631.570000000007</v>
      </c>
      <c r="O54" s="335">
        <f>-SUM(Balancete!O319,Balancete!O321:O327,Balancete!O329:O332,Balancete!O334,Balancete!O338,Balancete!O340:O341,Balancete!O351,Balancete!O502,Balancete!O524,Balancete!O535)</f>
        <v>-60869.619999999995</v>
      </c>
    </row>
    <row r="55" spans="2:15" ht="13.8" x14ac:dyDescent="0.3">
      <c r="B55" s="298" t="s">
        <v>676</v>
      </c>
      <c r="C55" s="340">
        <f t="shared" ref="C55:O55" si="7">SUM(C52:C54)</f>
        <v>-378933.95999999996</v>
      </c>
      <c r="D55" s="340">
        <f t="shared" si="7"/>
        <v>0</v>
      </c>
      <c r="E55" s="340">
        <f t="shared" si="7"/>
        <v>0</v>
      </c>
      <c r="F55" s="340">
        <f t="shared" si="7"/>
        <v>0</v>
      </c>
      <c r="G55" s="340">
        <f t="shared" si="7"/>
        <v>0</v>
      </c>
      <c r="H55" s="340">
        <f t="shared" si="7"/>
        <v>0</v>
      </c>
      <c r="I55" s="340">
        <f t="shared" si="7"/>
        <v>0</v>
      </c>
      <c r="J55" s="340">
        <f t="shared" si="7"/>
        <v>0</v>
      </c>
      <c r="K55" s="340">
        <f t="shared" si="7"/>
        <v>0</v>
      </c>
      <c r="L55" s="340">
        <f t="shared" si="7"/>
        <v>0</v>
      </c>
      <c r="M55" s="340">
        <f t="shared" si="7"/>
        <v>-140058.51999999999</v>
      </c>
      <c r="N55" s="340">
        <f t="shared" si="7"/>
        <v>-133285.32</v>
      </c>
      <c r="O55" s="340">
        <f t="shared" si="7"/>
        <v>-105590.12</v>
      </c>
    </row>
    <row r="56" spans="2:15" ht="13.8" x14ac:dyDescent="0.3">
      <c r="B56" s="298" t="s">
        <v>677</v>
      </c>
      <c r="C56" s="340">
        <f t="shared" ref="C56:O56" si="8">C55+C51</f>
        <v>-4400014.87</v>
      </c>
      <c r="D56" s="340">
        <f t="shared" si="8"/>
        <v>0</v>
      </c>
      <c r="E56" s="340">
        <f t="shared" si="8"/>
        <v>0</v>
      </c>
      <c r="F56" s="340">
        <f t="shared" si="8"/>
        <v>0</v>
      </c>
      <c r="G56" s="340">
        <f t="shared" si="8"/>
        <v>0</v>
      </c>
      <c r="H56" s="340">
        <f t="shared" si="8"/>
        <v>0</v>
      </c>
      <c r="I56" s="340">
        <f t="shared" si="8"/>
        <v>0</v>
      </c>
      <c r="J56" s="340">
        <f t="shared" si="8"/>
        <v>0</v>
      </c>
      <c r="K56" s="340">
        <f t="shared" si="8"/>
        <v>0</v>
      </c>
      <c r="L56" s="340">
        <f t="shared" si="8"/>
        <v>0</v>
      </c>
      <c r="M56" s="340">
        <f t="shared" si="8"/>
        <v>-979314.44</v>
      </c>
      <c r="N56" s="340">
        <f t="shared" si="8"/>
        <v>-1399700.3800000001</v>
      </c>
      <c r="O56" s="340">
        <f t="shared" si="8"/>
        <v>-2021000.0499999998</v>
      </c>
    </row>
    <row r="57" spans="2:15" ht="13.8" x14ac:dyDescent="0.3">
      <c r="B57" s="301"/>
      <c r="C57" s="341"/>
      <c r="D57" s="341"/>
      <c r="E57" s="341"/>
      <c r="F57" s="341"/>
      <c r="G57" s="341"/>
      <c r="H57" s="341"/>
      <c r="I57" s="341"/>
      <c r="J57" s="341"/>
      <c r="K57" s="341"/>
      <c r="L57" s="341"/>
      <c r="M57" s="341"/>
      <c r="N57" s="341"/>
      <c r="O57" s="341"/>
    </row>
    <row r="58" spans="2:15" ht="13.8" x14ac:dyDescent="0.3">
      <c r="B58" s="302" t="s">
        <v>678</v>
      </c>
      <c r="C58" s="342">
        <f t="shared" ref="C58:O58" si="9">C27+C56</f>
        <v>-273850.50999999978</v>
      </c>
      <c r="D58" s="342">
        <f t="shared" si="9"/>
        <v>0</v>
      </c>
      <c r="E58" s="342">
        <f t="shared" si="9"/>
        <v>0</v>
      </c>
      <c r="F58" s="342">
        <f t="shared" si="9"/>
        <v>0</v>
      </c>
      <c r="G58" s="342">
        <f t="shared" si="9"/>
        <v>0</v>
      </c>
      <c r="H58" s="342">
        <f t="shared" si="9"/>
        <v>0</v>
      </c>
      <c r="I58" s="342">
        <f t="shared" si="9"/>
        <v>0</v>
      </c>
      <c r="J58" s="342">
        <f t="shared" si="9"/>
        <v>0</v>
      </c>
      <c r="K58" s="342">
        <f t="shared" si="9"/>
        <v>0</v>
      </c>
      <c r="L58" s="342">
        <f t="shared" si="9"/>
        <v>0</v>
      </c>
      <c r="M58" s="342">
        <f t="shared" si="9"/>
        <v>-173380.52999999991</v>
      </c>
      <c r="N58" s="342">
        <f t="shared" si="9"/>
        <v>-191773.59000000008</v>
      </c>
      <c r="O58" s="342">
        <f t="shared" si="9"/>
        <v>91303.610000000335</v>
      </c>
    </row>
    <row r="59" spans="2:15" ht="13.8" x14ac:dyDescent="0.3">
      <c r="C59" s="334"/>
      <c r="D59" s="335"/>
      <c r="E59" s="334"/>
      <c r="F59" s="334"/>
      <c r="G59" s="334"/>
      <c r="H59" s="334"/>
      <c r="I59" s="334"/>
      <c r="J59" s="334"/>
      <c r="K59" s="334"/>
      <c r="L59" s="334"/>
      <c r="M59" s="334"/>
      <c r="N59" s="334"/>
      <c r="O59" s="334"/>
    </row>
    <row r="60" spans="2:15" ht="13.8" x14ac:dyDescent="0.3">
      <c r="B60" s="331" t="s">
        <v>679</v>
      </c>
      <c r="C60" s="335">
        <f t="shared" ref="C60:C61" si="10">SUM(D60:O60)</f>
        <v>44287.45</v>
      </c>
      <c r="D60" s="335">
        <f>Balancete!D210</f>
        <v>0</v>
      </c>
      <c r="E60" s="335">
        <f>Balancete!E210</f>
        <v>0</v>
      </c>
      <c r="F60" s="335">
        <f>Balancete!F210</f>
        <v>0</v>
      </c>
      <c r="G60" s="335">
        <f>Balancete!G210</f>
        <v>0</v>
      </c>
      <c r="H60" s="335">
        <f>Balancete!H210</f>
        <v>0</v>
      </c>
      <c r="I60" s="335">
        <f>Balancete!I210</f>
        <v>0</v>
      </c>
      <c r="J60" s="335">
        <f>Balancete!J210</f>
        <v>0</v>
      </c>
      <c r="K60" s="335">
        <f>Balancete!K210</f>
        <v>0</v>
      </c>
      <c r="L60" s="335">
        <f>Balancete!L210</f>
        <v>0</v>
      </c>
      <c r="M60" s="335">
        <f>Balancete!M210</f>
        <v>18982.53</v>
      </c>
      <c r="N60" s="335">
        <f>Balancete!N210</f>
        <v>12982.53</v>
      </c>
      <c r="O60" s="335">
        <f>Balancete!O210</f>
        <v>12322.39</v>
      </c>
    </row>
    <row r="61" spans="2:15" ht="13.8" x14ac:dyDescent="0.3">
      <c r="B61" s="331" t="s">
        <v>679</v>
      </c>
      <c r="C61" s="335">
        <f t="shared" si="10"/>
        <v>-44287.45</v>
      </c>
      <c r="D61" s="335">
        <f>-Balancete!D259</f>
        <v>0</v>
      </c>
      <c r="E61" s="335">
        <f>-Balancete!E259</f>
        <v>0</v>
      </c>
      <c r="F61" s="335">
        <f>-Balancete!F259</f>
        <v>0</v>
      </c>
      <c r="G61" s="335">
        <f>-Balancete!G259</f>
        <v>0</v>
      </c>
      <c r="H61" s="335">
        <f>-Balancete!H259</f>
        <v>0</v>
      </c>
      <c r="I61" s="335">
        <f>-Balancete!I259</f>
        <v>0</v>
      </c>
      <c r="J61" s="335">
        <f>-Balancete!J259</f>
        <v>0</v>
      </c>
      <c r="K61" s="335">
        <f>-Balancete!K259</f>
        <v>0</v>
      </c>
      <c r="L61" s="335">
        <f>-Balancete!L259</f>
        <v>0</v>
      </c>
      <c r="M61" s="335">
        <f>-Balancete!M259</f>
        <v>-18982.53</v>
      </c>
      <c r="N61" s="335">
        <f>-Balancete!N259</f>
        <v>-12982.53</v>
      </c>
      <c r="O61" s="335">
        <f>-Balancete!O259</f>
        <v>-12322.39</v>
      </c>
    </row>
    <row r="62" spans="2:15" ht="13.8" x14ac:dyDescent="0.3">
      <c r="B62" s="332" t="s">
        <v>680</v>
      </c>
      <c r="C62" s="339">
        <f>SUM(C58:C61)</f>
        <v>-273850.50999999978</v>
      </c>
      <c r="D62" s="339">
        <f t="shared" ref="D62:O62" si="11">SUM(D58:D61)</f>
        <v>0</v>
      </c>
      <c r="E62" s="339">
        <f t="shared" si="11"/>
        <v>0</v>
      </c>
      <c r="F62" s="339">
        <f t="shared" si="11"/>
        <v>0</v>
      </c>
      <c r="G62" s="339">
        <f t="shared" si="11"/>
        <v>0</v>
      </c>
      <c r="H62" s="339">
        <f t="shared" si="11"/>
        <v>0</v>
      </c>
      <c r="I62" s="339">
        <f t="shared" si="11"/>
        <v>0</v>
      </c>
      <c r="J62" s="339">
        <f t="shared" si="11"/>
        <v>0</v>
      </c>
      <c r="K62" s="339">
        <f t="shared" si="11"/>
        <v>0</v>
      </c>
      <c r="L62" s="339">
        <f t="shared" si="11"/>
        <v>0</v>
      </c>
      <c r="M62" s="339">
        <f t="shared" si="11"/>
        <v>-173380.52999999991</v>
      </c>
      <c r="N62" s="339">
        <f t="shared" si="11"/>
        <v>-191773.59000000008</v>
      </c>
      <c r="O62" s="339">
        <f t="shared" si="11"/>
        <v>91303.610000000335</v>
      </c>
    </row>
    <row r="63" spans="2:15" ht="13.8" x14ac:dyDescent="0.3">
      <c r="B63" s="297" t="s">
        <v>681</v>
      </c>
      <c r="C63" s="335">
        <f t="shared" ref="C63:C67" si="12">SUM(D63:O63)</f>
        <v>30743.23</v>
      </c>
      <c r="D63" s="335">
        <f>Balancete!D232+Balancete!D233</f>
        <v>0</v>
      </c>
      <c r="E63" s="335">
        <f>Balancete!E232+Balancete!E233</f>
        <v>0</v>
      </c>
      <c r="F63" s="335">
        <f>Balancete!F232+Balancete!F233</f>
        <v>0</v>
      </c>
      <c r="G63" s="335">
        <f>Balancete!G232+Balancete!G233</f>
        <v>0</v>
      </c>
      <c r="H63" s="335">
        <f>Balancete!H232+Balancete!H233</f>
        <v>0</v>
      </c>
      <c r="I63" s="335">
        <f>Balancete!I232+Balancete!I233</f>
        <v>0</v>
      </c>
      <c r="J63" s="335">
        <f>Balancete!J232+Balancete!J233</f>
        <v>0</v>
      </c>
      <c r="K63" s="335">
        <f>Balancete!K232+Balancete!K233</f>
        <v>0</v>
      </c>
      <c r="L63" s="335">
        <f>Balancete!L232+Balancete!L233</f>
        <v>0</v>
      </c>
      <c r="M63" s="335">
        <f>Balancete!M232+Balancete!M233</f>
        <v>9122.14</v>
      </c>
      <c r="N63" s="335">
        <f>Balancete!N232+Balancete!N233</f>
        <v>9415.07</v>
      </c>
      <c r="O63" s="335">
        <f>Balancete!O232+Balancete!O233</f>
        <v>12206.02</v>
      </c>
    </row>
    <row r="64" spans="2:15" ht="13.8" x14ac:dyDescent="0.3">
      <c r="B64" s="297" t="s">
        <v>682</v>
      </c>
      <c r="C64" s="335">
        <f t="shared" si="12"/>
        <v>18278.28</v>
      </c>
      <c r="D64" s="335">
        <f>Balancete!D230+Balancete!D229</f>
        <v>0</v>
      </c>
      <c r="E64" s="335">
        <f>Balancete!E230+Balancete!E229</f>
        <v>0</v>
      </c>
      <c r="F64" s="335">
        <f>Balancete!F230+Balancete!F229</f>
        <v>0</v>
      </c>
      <c r="G64" s="335">
        <f>Balancete!G230+Balancete!G229</f>
        <v>0</v>
      </c>
      <c r="H64" s="335">
        <f>Balancete!H230+Balancete!H229</f>
        <v>0</v>
      </c>
      <c r="I64" s="335">
        <f>Balancete!I230+Balancete!I229</f>
        <v>0</v>
      </c>
      <c r="J64" s="335">
        <f>Balancete!J230+Balancete!J229</f>
        <v>0</v>
      </c>
      <c r="K64" s="335">
        <f>Balancete!K230+Balancete!K229</f>
        <v>0</v>
      </c>
      <c r="L64" s="335">
        <f>Balancete!L230+Balancete!L229</f>
        <v>0</v>
      </c>
      <c r="M64" s="335">
        <f>Balancete!M230+Balancete!M229</f>
        <v>6045.93</v>
      </c>
      <c r="N64" s="335">
        <f>Balancete!N230+Balancete!N229</f>
        <v>6119.52</v>
      </c>
      <c r="O64" s="335">
        <f>Balancete!O230+Balancete!O229</f>
        <v>6112.83</v>
      </c>
    </row>
    <row r="65" spans="2:15" ht="13.8" x14ac:dyDescent="0.3">
      <c r="B65" s="297" t="s">
        <v>683</v>
      </c>
      <c r="C65" s="335">
        <f t="shared" si="12"/>
        <v>44532.480000000003</v>
      </c>
      <c r="D65" s="335">
        <f>Balancete!D231</f>
        <v>0</v>
      </c>
      <c r="E65" s="335">
        <f>Balancete!E231</f>
        <v>0</v>
      </c>
      <c r="F65" s="335">
        <f>Balancete!F231</f>
        <v>0</v>
      </c>
      <c r="G65" s="335">
        <f>Balancete!G231</f>
        <v>0</v>
      </c>
      <c r="H65" s="335">
        <f>Balancete!H231</f>
        <v>0</v>
      </c>
      <c r="I65" s="335">
        <f>Balancete!I231</f>
        <v>0</v>
      </c>
      <c r="J65" s="335">
        <f>Balancete!J231</f>
        <v>0</v>
      </c>
      <c r="K65" s="335">
        <f>Balancete!K231</f>
        <v>0</v>
      </c>
      <c r="L65" s="335">
        <f>Balancete!L231</f>
        <v>0</v>
      </c>
      <c r="M65" s="335">
        <f>Balancete!M231</f>
        <v>5993.93</v>
      </c>
      <c r="N65" s="335">
        <f>Balancete!N231</f>
        <v>38538.550000000003</v>
      </c>
      <c r="O65" s="335">
        <f>Balancete!O231</f>
        <v>0</v>
      </c>
    </row>
    <row r="66" spans="2:15" ht="13.8" x14ac:dyDescent="0.3">
      <c r="B66" s="297" t="s">
        <v>684</v>
      </c>
      <c r="C66" s="335">
        <f t="shared" si="12"/>
        <v>-9097.619999999999</v>
      </c>
      <c r="D66" s="335">
        <f>-(Balancete!D591+Balancete!D592+Balancete!D595)</f>
        <v>0</v>
      </c>
      <c r="E66" s="335">
        <f>-(Balancete!E591+Balancete!E592+Balancete!E595)</f>
        <v>0</v>
      </c>
      <c r="F66" s="335">
        <f>-(Balancete!F591+Balancete!F592+Balancete!F595)</f>
        <v>0</v>
      </c>
      <c r="G66" s="335">
        <f>-(Balancete!G591+Balancete!G592+Balancete!G595)</f>
        <v>0</v>
      </c>
      <c r="H66" s="335">
        <f>-(Balancete!H591+Balancete!H592+Balancete!H595)</f>
        <v>0</v>
      </c>
      <c r="I66" s="335">
        <f>-(Balancete!I591+Balancete!I592+Balancete!I595)</f>
        <v>0</v>
      </c>
      <c r="J66" s="335">
        <f>-(Balancete!J591+Balancete!J592+Balancete!J595)</f>
        <v>0</v>
      </c>
      <c r="K66" s="335">
        <f>-(Balancete!K591+Balancete!K592+Balancete!K595)</f>
        <v>0</v>
      </c>
      <c r="L66" s="335">
        <f>-(Balancete!L591+Balancete!L592+Balancete!L595)</f>
        <v>0</v>
      </c>
      <c r="M66" s="335">
        <f>-(Balancete!M591+Balancete!M592+Balancete!M595)</f>
        <v>-2914.6099999999997</v>
      </c>
      <c r="N66" s="335">
        <f>-(Balancete!N591+Balancete!N592+Balancete!N595)</f>
        <v>-3095.04</v>
      </c>
      <c r="O66" s="335">
        <f>-(Balancete!O591+Balancete!O592+Balancete!O595)</f>
        <v>-3087.97</v>
      </c>
    </row>
    <row r="67" spans="2:15" ht="13.8" x14ac:dyDescent="0.3">
      <c r="B67" s="297" t="s">
        <v>685</v>
      </c>
      <c r="C67" s="335">
        <f t="shared" si="12"/>
        <v>-434638.57999999996</v>
      </c>
      <c r="D67" s="335">
        <f>-(Balancete!D593+Balancete!D594)</f>
        <v>0</v>
      </c>
      <c r="E67" s="335">
        <f>-(Balancete!E593+Balancete!E594)</f>
        <v>0</v>
      </c>
      <c r="F67" s="335">
        <f>-(Balancete!F593+Balancete!F594)</f>
        <v>0</v>
      </c>
      <c r="G67" s="335">
        <f>-(Balancete!G593+Balancete!G594)</f>
        <v>0</v>
      </c>
      <c r="H67" s="335">
        <f>-(Balancete!H593+Balancete!H594)</f>
        <v>0</v>
      </c>
      <c r="I67" s="335">
        <f>-(Balancete!I593+Balancete!I594)</f>
        <v>0</v>
      </c>
      <c r="J67" s="335">
        <f>-(Balancete!J593+Balancete!J594)</f>
        <v>0</v>
      </c>
      <c r="K67" s="335">
        <f>-(Balancete!K593+Balancete!K594)</f>
        <v>0</v>
      </c>
      <c r="L67" s="335">
        <f>-(Balancete!L593+Balancete!L594)</f>
        <v>0</v>
      </c>
      <c r="M67" s="335">
        <f>-(Balancete!M593+Balancete!M594)</f>
        <v>-40124.060000000005</v>
      </c>
      <c r="N67" s="335">
        <f>-(Balancete!N593+Balancete!N594)</f>
        <v>-1829.23</v>
      </c>
      <c r="O67" s="335">
        <f>-(Balancete!O593+Balancete!O594)</f>
        <v>-392685.29</v>
      </c>
    </row>
    <row r="68" spans="2:15" ht="13.8" x14ac:dyDescent="0.3">
      <c r="B68" s="300" t="s">
        <v>686</v>
      </c>
      <c r="C68" s="339">
        <f>SUM(C62:C67)</f>
        <v>-624032.71999999974</v>
      </c>
      <c r="D68" s="339">
        <f t="shared" ref="D68:O68" si="13">SUM(D62:D67)</f>
        <v>0</v>
      </c>
      <c r="E68" s="339">
        <f t="shared" si="13"/>
        <v>0</v>
      </c>
      <c r="F68" s="339">
        <f t="shared" si="13"/>
        <v>0</v>
      </c>
      <c r="G68" s="339">
        <f t="shared" si="13"/>
        <v>0</v>
      </c>
      <c r="H68" s="339">
        <f t="shared" si="13"/>
        <v>0</v>
      </c>
      <c r="I68" s="339">
        <f t="shared" si="13"/>
        <v>0</v>
      </c>
      <c r="J68" s="339">
        <f t="shared" si="13"/>
        <v>0</v>
      </c>
      <c r="K68" s="339">
        <f t="shared" si="13"/>
        <v>0</v>
      </c>
      <c r="L68" s="339">
        <f t="shared" si="13"/>
        <v>0</v>
      </c>
      <c r="M68" s="339">
        <f t="shared" si="13"/>
        <v>-195257.1999999999</v>
      </c>
      <c r="N68" s="339">
        <f t="shared" si="13"/>
        <v>-142624.72000000009</v>
      </c>
      <c r="O68" s="339">
        <f t="shared" si="13"/>
        <v>-286150.79999999964</v>
      </c>
    </row>
    <row r="69" spans="2:15" ht="13.8" x14ac:dyDescent="0.3">
      <c r="B69" s="297" t="s">
        <v>687</v>
      </c>
      <c r="C69" s="335">
        <f t="shared" ref="C69" si="14">SUM(D69:O69)</f>
        <v>0</v>
      </c>
      <c r="D69" s="335">
        <v>0</v>
      </c>
      <c r="E69" s="335">
        <v>0</v>
      </c>
      <c r="F69" s="335">
        <v>0</v>
      </c>
      <c r="G69" s="335">
        <v>0</v>
      </c>
      <c r="H69" s="335">
        <v>0</v>
      </c>
      <c r="I69" s="335">
        <v>0</v>
      </c>
      <c r="J69" s="335">
        <v>0</v>
      </c>
      <c r="K69" s="335">
        <v>0</v>
      </c>
      <c r="L69" s="335">
        <v>0</v>
      </c>
      <c r="M69" s="335">
        <v>0</v>
      </c>
      <c r="N69" s="335">
        <v>0</v>
      </c>
      <c r="O69" s="335">
        <v>0</v>
      </c>
    </row>
    <row r="70" spans="2:15" ht="13.8" x14ac:dyDescent="0.3">
      <c r="B70" s="300" t="s">
        <v>688</v>
      </c>
      <c r="C70" s="339">
        <f>SUM(C68:C69)</f>
        <v>-624032.71999999974</v>
      </c>
      <c r="D70" s="339">
        <f t="shared" ref="D70:O70" si="15">SUM(D68:D69)</f>
        <v>0</v>
      </c>
      <c r="E70" s="339">
        <f t="shared" si="15"/>
        <v>0</v>
      </c>
      <c r="F70" s="339">
        <f t="shared" si="15"/>
        <v>0</v>
      </c>
      <c r="G70" s="339">
        <f t="shared" si="15"/>
        <v>0</v>
      </c>
      <c r="H70" s="339">
        <f t="shared" si="15"/>
        <v>0</v>
      </c>
      <c r="I70" s="339">
        <f t="shared" si="15"/>
        <v>0</v>
      </c>
      <c r="J70" s="339">
        <f t="shared" si="15"/>
        <v>0</v>
      </c>
      <c r="K70" s="339">
        <f t="shared" si="15"/>
        <v>0</v>
      </c>
      <c r="L70" s="339">
        <f t="shared" si="15"/>
        <v>0</v>
      </c>
      <c r="M70" s="339">
        <f t="shared" si="15"/>
        <v>-195257.1999999999</v>
      </c>
      <c r="N70" s="339">
        <f t="shared" si="15"/>
        <v>-142624.72000000009</v>
      </c>
      <c r="O70" s="339">
        <f t="shared" si="15"/>
        <v>-286150.79999999964</v>
      </c>
    </row>
    <row r="71" spans="2:15" ht="13.8" x14ac:dyDescent="0.3">
      <c r="B71" s="297" t="s">
        <v>689</v>
      </c>
      <c r="C71" s="335">
        <f t="shared" ref="C71" si="16">SUM(D71:O71)</f>
        <v>-13760.97</v>
      </c>
      <c r="D71" s="335">
        <f>-Balancete!D584</f>
        <v>0</v>
      </c>
      <c r="E71" s="335">
        <f>-Balancete!E584</f>
        <v>0</v>
      </c>
      <c r="F71" s="335">
        <f>-Balancete!F584</f>
        <v>0</v>
      </c>
      <c r="G71" s="335">
        <f>-Balancete!G584</f>
        <v>0</v>
      </c>
      <c r="H71" s="335">
        <f>-Balancete!H584</f>
        <v>0</v>
      </c>
      <c r="I71" s="335">
        <f>-Balancete!I584</f>
        <v>0</v>
      </c>
      <c r="J71" s="335">
        <f>-Balancete!J584</f>
        <v>0</v>
      </c>
      <c r="K71" s="335">
        <f>-Balancete!K584</f>
        <v>0</v>
      </c>
      <c r="L71" s="335">
        <f>-Balancete!L584</f>
        <v>0</v>
      </c>
      <c r="M71" s="335">
        <f>-Balancete!M584</f>
        <v>-983.5</v>
      </c>
      <c r="N71" s="335">
        <f>-Balancete!N584</f>
        <v>-12035.97</v>
      </c>
      <c r="O71" s="335">
        <f>-Balancete!O584</f>
        <v>-741.5</v>
      </c>
    </row>
    <row r="72" spans="2:15" ht="13.8" x14ac:dyDescent="0.3">
      <c r="B72" s="300" t="s">
        <v>690</v>
      </c>
      <c r="C72" s="339">
        <f>SUM(C70:C71)</f>
        <v>-637793.68999999971</v>
      </c>
      <c r="D72" s="339">
        <f t="shared" ref="D72:O72" si="17">SUM(D70:D71)</f>
        <v>0</v>
      </c>
      <c r="E72" s="339">
        <f t="shared" si="17"/>
        <v>0</v>
      </c>
      <c r="F72" s="339">
        <f t="shared" si="17"/>
        <v>0</v>
      </c>
      <c r="G72" s="339">
        <f t="shared" si="17"/>
        <v>0</v>
      </c>
      <c r="H72" s="339">
        <f t="shared" si="17"/>
        <v>0</v>
      </c>
      <c r="I72" s="339">
        <f t="shared" si="17"/>
        <v>0</v>
      </c>
      <c r="J72" s="339">
        <f t="shared" si="17"/>
        <v>0</v>
      </c>
      <c r="K72" s="339">
        <f t="shared" si="17"/>
        <v>0</v>
      </c>
      <c r="L72" s="339">
        <f t="shared" si="17"/>
        <v>0</v>
      </c>
      <c r="M72" s="339">
        <f t="shared" si="17"/>
        <v>-196240.6999999999</v>
      </c>
      <c r="N72" s="339">
        <f t="shared" si="17"/>
        <v>-154660.69000000009</v>
      </c>
      <c r="O72" s="339">
        <f t="shared" si="17"/>
        <v>-286892.29999999964</v>
      </c>
    </row>
    <row r="73" spans="2:15" ht="13.8" x14ac:dyDescent="0.3">
      <c r="B73" s="297" t="s">
        <v>691</v>
      </c>
      <c r="C73" s="335">
        <f t="shared" ref="C73:C76" si="18">SUM(D73:O73)</f>
        <v>0</v>
      </c>
      <c r="D73" s="335">
        <v>0</v>
      </c>
      <c r="E73" s="335">
        <v>0</v>
      </c>
      <c r="F73" s="335">
        <v>0</v>
      </c>
      <c r="G73" s="335">
        <v>0</v>
      </c>
      <c r="H73" s="335">
        <v>0</v>
      </c>
      <c r="I73" s="335">
        <v>0</v>
      </c>
      <c r="J73" s="335">
        <v>0</v>
      </c>
      <c r="K73" s="335">
        <v>0</v>
      </c>
      <c r="L73" s="335">
        <v>0</v>
      </c>
      <c r="M73" s="335">
        <v>0</v>
      </c>
      <c r="N73" s="335">
        <v>0</v>
      </c>
      <c r="O73" s="335">
        <v>0</v>
      </c>
    </row>
    <row r="74" spans="2:15" ht="13.8" x14ac:dyDescent="0.3">
      <c r="B74" s="297" t="s">
        <v>692</v>
      </c>
      <c r="C74" s="335">
        <f t="shared" si="18"/>
        <v>0</v>
      </c>
      <c r="D74" s="335">
        <f>-Balancete!D597</f>
        <v>0</v>
      </c>
      <c r="E74" s="335">
        <f>-Balancete!E597</f>
        <v>0</v>
      </c>
      <c r="F74" s="335">
        <f>-Balancete!F597</f>
        <v>0</v>
      </c>
      <c r="G74" s="335">
        <f>-Balancete!G597</f>
        <v>0</v>
      </c>
      <c r="H74" s="335">
        <f>-Balancete!H597</f>
        <v>0</v>
      </c>
      <c r="I74" s="335">
        <f>-Balancete!I597</f>
        <v>0</v>
      </c>
      <c r="J74" s="335">
        <f>-Balancete!J597</f>
        <v>0</v>
      </c>
      <c r="K74" s="335">
        <f>-Balancete!K597</f>
        <v>0</v>
      </c>
      <c r="L74" s="335">
        <f>-Balancete!L597</f>
        <v>0</v>
      </c>
      <c r="M74" s="335">
        <f>-Balancete!M597</f>
        <v>0</v>
      </c>
      <c r="N74" s="335">
        <f>-Balancete!N597</f>
        <v>0</v>
      </c>
      <c r="O74" s="335">
        <f>-Balancete!O597</f>
        <v>0</v>
      </c>
    </row>
    <row r="75" spans="2:15" ht="13.8" x14ac:dyDescent="0.3">
      <c r="B75" s="297" t="s">
        <v>693</v>
      </c>
      <c r="C75" s="335">
        <f t="shared" si="18"/>
        <v>0</v>
      </c>
      <c r="D75" s="335">
        <v>0</v>
      </c>
      <c r="E75" s="335">
        <v>0</v>
      </c>
      <c r="F75" s="335">
        <v>0</v>
      </c>
      <c r="G75" s="335">
        <v>0</v>
      </c>
      <c r="H75" s="335">
        <v>0</v>
      </c>
      <c r="I75" s="335">
        <v>0</v>
      </c>
      <c r="J75" s="335">
        <v>0</v>
      </c>
      <c r="K75" s="335">
        <v>0</v>
      </c>
      <c r="L75" s="335">
        <v>0</v>
      </c>
      <c r="M75" s="335">
        <v>0</v>
      </c>
      <c r="N75" s="335">
        <v>0</v>
      </c>
      <c r="O75" s="335">
        <v>0</v>
      </c>
    </row>
    <row r="76" spans="2:15" ht="13.8" x14ac:dyDescent="0.3">
      <c r="B76" s="297" t="s">
        <v>694</v>
      </c>
      <c r="C76" s="335">
        <f t="shared" si="18"/>
        <v>-61694.46</v>
      </c>
      <c r="D76" s="335">
        <f>-Balancete!D516</f>
        <v>0</v>
      </c>
      <c r="E76" s="335">
        <f>-Balancete!E516</f>
        <v>0</v>
      </c>
      <c r="F76" s="335">
        <f>-Balancete!F516</f>
        <v>0</v>
      </c>
      <c r="G76" s="335">
        <f>-Balancete!G516</f>
        <v>0</v>
      </c>
      <c r="H76" s="335">
        <f>-Balancete!H516</f>
        <v>0</v>
      </c>
      <c r="I76" s="335">
        <f>-Balancete!I516</f>
        <v>0</v>
      </c>
      <c r="J76" s="335">
        <f>-Balancete!J516</f>
        <v>0</v>
      </c>
      <c r="K76" s="335">
        <f>-Balancete!K516</f>
        <v>0</v>
      </c>
      <c r="L76" s="335">
        <f>-Balancete!L516</f>
        <v>0</v>
      </c>
      <c r="M76" s="335">
        <f>-Balancete!M516</f>
        <v>-20191.59</v>
      </c>
      <c r="N76" s="335">
        <f>-Balancete!N516</f>
        <v>-20191.59</v>
      </c>
      <c r="O76" s="335">
        <f>-Balancete!O516</f>
        <v>-21311.279999999999</v>
      </c>
    </row>
    <row r="77" spans="2:15" ht="13.8" x14ac:dyDescent="0.3">
      <c r="B77" s="302" t="s">
        <v>695</v>
      </c>
      <c r="C77" s="342">
        <f>SUM(C72:C76)</f>
        <v>-699488.14999999967</v>
      </c>
      <c r="D77" s="342">
        <f t="shared" ref="D77:O77" si="19">SUM(D72:D76)</f>
        <v>0</v>
      </c>
      <c r="E77" s="342">
        <f t="shared" si="19"/>
        <v>0</v>
      </c>
      <c r="F77" s="342">
        <f t="shared" si="19"/>
        <v>0</v>
      </c>
      <c r="G77" s="342">
        <f t="shared" si="19"/>
        <v>0</v>
      </c>
      <c r="H77" s="342">
        <f t="shared" si="19"/>
        <v>0</v>
      </c>
      <c r="I77" s="342">
        <f t="shared" si="19"/>
        <v>0</v>
      </c>
      <c r="J77" s="342">
        <f t="shared" si="19"/>
        <v>0</v>
      </c>
      <c r="K77" s="342">
        <f t="shared" si="19"/>
        <v>0</v>
      </c>
      <c r="L77" s="342">
        <f t="shared" si="19"/>
        <v>0</v>
      </c>
      <c r="M77" s="342">
        <f t="shared" si="19"/>
        <v>-216432.28999999989</v>
      </c>
      <c r="N77" s="342">
        <f t="shared" si="19"/>
        <v>-174852.28000000009</v>
      </c>
      <c r="O77" s="342">
        <f t="shared" si="19"/>
        <v>-308203.57999999961</v>
      </c>
    </row>
    <row r="78" spans="2:15" ht="13.8" x14ac:dyDescent="0.3">
      <c r="B78" s="297" t="s">
        <v>696</v>
      </c>
      <c r="C78" s="333">
        <f>C77-Balancete!C278</f>
        <v>0</v>
      </c>
      <c r="D78" s="333">
        <f>D77-Balancete!D278</f>
        <v>0</v>
      </c>
      <c r="E78" s="333">
        <f>E77-Balancete!E278</f>
        <v>0</v>
      </c>
      <c r="F78" s="333">
        <f>F77-Balancete!F278</f>
        <v>0</v>
      </c>
      <c r="G78" s="333">
        <f>G77-Balancete!G278</f>
        <v>0</v>
      </c>
      <c r="H78" s="333">
        <f>H77-Balancete!H278</f>
        <v>0</v>
      </c>
      <c r="I78" s="333">
        <f>I77-Balancete!I278</f>
        <v>0</v>
      </c>
      <c r="J78" s="333">
        <f>J77-Balancete!J278</f>
        <v>0</v>
      </c>
      <c r="K78" s="333">
        <f>K77-Balancete!K278</f>
        <v>0</v>
      </c>
      <c r="L78" s="333">
        <f>L77-Balancete!L278</f>
        <v>0</v>
      </c>
      <c r="M78" s="333">
        <f>M77-Balancete!M278</f>
        <v>0</v>
      </c>
      <c r="N78" s="333">
        <f>N77-Balancete!N278</f>
        <v>-2.9103830456733704E-10</v>
      </c>
      <c r="O78" s="333">
        <f>O77-Balancete!O278</f>
        <v>0</v>
      </c>
    </row>
  </sheetData>
  <mergeCells count="3">
    <mergeCell ref="B1:O1"/>
    <mergeCell ref="B2:O2"/>
    <mergeCell ref="B4:O4"/>
  </mergeCells>
  <printOptions horizontalCentered="1" verticalCentered="1"/>
  <pageMargins left="0.25" right="0.25" top="0.75" bottom="0.75" header="0.3" footer="0.3"/>
  <pageSetup paperSize="9" scale="50" orientation="landscape" r:id="rId1"/>
  <ignoredErrors>
    <ignoredError sqref="C62:C77 C79:C80 D71:S77 D79:S83 D78:L78 O78:S78" formula="1"/>
    <ignoredError sqref="D30:Q40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1db2156-0adb-4776-915b-36da3be0060a">
      <Terms xmlns="http://schemas.microsoft.com/office/infopath/2007/PartnerControls"/>
    </lcf76f155ced4ddcb4097134ff3c332f>
    <TaxCatchAll xmlns="cf3c147a-0b01-4b22-91f4-748c11ddf5c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74AC9F20354D343A36C5EC48B9A0319" ma:contentTypeVersion="15" ma:contentTypeDescription="Crie um novo documento." ma:contentTypeScope="" ma:versionID="96a75c7753f026399591ffc02378d780">
  <xsd:schema xmlns:xsd="http://www.w3.org/2001/XMLSchema" xmlns:xs="http://www.w3.org/2001/XMLSchema" xmlns:p="http://schemas.microsoft.com/office/2006/metadata/properties" xmlns:ns2="a1db2156-0adb-4776-915b-36da3be0060a" xmlns:ns3="cf3c147a-0b01-4b22-91f4-748c11ddf5cc" targetNamespace="http://schemas.microsoft.com/office/2006/metadata/properties" ma:root="true" ma:fieldsID="1b18ea77ac61859e8866aba07fbdc08b" ns2:_="" ns3:_="">
    <xsd:import namespace="a1db2156-0adb-4776-915b-36da3be0060a"/>
    <xsd:import namespace="cf3c147a-0b01-4b22-91f4-748c11ddf5c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db2156-0adb-4776-915b-36da3be006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7b05e6cb-1432-449e-9baf-6330a7ea96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3c147a-0b01-4b22-91f4-748c11ddf5cc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72ab60d-bb10-4e9b-a711-b00d8c46b64e}" ma:internalName="TaxCatchAll" ma:showField="CatchAllData" ma:web="cf3c147a-0b01-4b22-91f4-748c11ddf5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6D1FA3-90B0-4679-8BF9-C17E7DFD1B28}">
  <ds:schemaRefs>
    <ds:schemaRef ds:uri="http://schemas.microsoft.com/office/2006/metadata/properties"/>
    <ds:schemaRef ds:uri="http://schemas.microsoft.com/office/infopath/2007/PartnerControls"/>
    <ds:schemaRef ds:uri="a1db2156-0adb-4776-915b-36da3be0060a"/>
    <ds:schemaRef ds:uri="cf3c147a-0b01-4b22-91f4-748c11ddf5cc"/>
  </ds:schemaRefs>
</ds:datastoreItem>
</file>

<file path=customXml/itemProps2.xml><?xml version="1.0" encoding="utf-8"?>
<ds:datastoreItem xmlns:ds="http://schemas.openxmlformats.org/officeDocument/2006/customXml" ds:itemID="{ABABA51D-7201-4547-92C0-D9CC9727AD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db2156-0adb-4776-915b-36da3be0060a"/>
    <ds:schemaRef ds:uri="cf3c147a-0b01-4b22-91f4-748c11ddf5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9BD433-6B23-4C0A-BA55-AFF757EA27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6</vt:i4>
      </vt:variant>
    </vt:vector>
  </HeadingPairs>
  <TitlesOfParts>
    <vt:vector size="11" baseType="lpstr">
      <vt:lpstr>Balancete</vt:lpstr>
      <vt:lpstr>Provisão Piva e CPB</vt:lpstr>
      <vt:lpstr>Balanco</vt:lpstr>
      <vt:lpstr>DLP</vt:lpstr>
      <vt:lpstr>DRE</vt:lpstr>
      <vt:lpstr>Balancete!Area_de_impressao</vt:lpstr>
      <vt:lpstr>Balanco!Area_de_impressao</vt:lpstr>
      <vt:lpstr>DLP!Area_de_impressao</vt:lpstr>
      <vt:lpstr>DRE!Area_de_impressao</vt:lpstr>
      <vt:lpstr>'Provisão Piva e CPB'!Area_de_impressao</vt:lpstr>
      <vt:lpstr>Balancete!Titulos_de_impressao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Camilla Goto</dc:creator>
  <cp:keywords/>
  <dc:description/>
  <cp:lastModifiedBy>Time CBDN - Administrativo</cp:lastModifiedBy>
  <cp:revision/>
  <cp:lastPrinted>2025-03-27T13:38:19Z</cp:lastPrinted>
  <dcterms:created xsi:type="dcterms:W3CDTF">2013-07-25T13:40:55Z</dcterms:created>
  <dcterms:modified xsi:type="dcterms:W3CDTF">2025-04-24T22:01:32Z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0x010100074AC9F20354D343A36C5EC48B9A0319</vt:lpwstr>
  </property>
  <property fmtid="{D5CDD505-2E9C-101B-9397-08002B2CF9AE}" pid="3" name="Order">
    <vt:r8>551000</vt:r8>
  </property>
  <property fmtid="{D5CDD505-2E9C-101B-9397-08002B2CF9AE}" pid="4" name="MediaServiceImageTags">
    <vt:lpwstr/>
  </property>
</Properties>
</file>